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7.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8.xml" ContentType="application/vnd.openxmlformats-officedocument.spreadsheetml.comments+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SICAR\Agroecologia 2024\En Uso\"/>
    </mc:Choice>
  </mc:AlternateContent>
  <xr:revisionPtr revIDLastSave="0" documentId="13_ncr:1_{5A7EDC99-3CD0-409F-BAD0-DF4BE8F2A08A}" xr6:coauthVersionLast="45" xr6:coauthVersionMax="45" xr10:uidLastSave="{00000000-0000-0000-0000-000000000000}"/>
  <bookViews>
    <workbookView xWindow="1560" yWindow="0" windowWidth="10245" windowHeight="10800" firstSheet="2" activeTab="2" xr2:uid="{FAB61978-04CF-4A22-B082-C1648F4383FB}"/>
  </bookViews>
  <sheets>
    <sheet name="Graph" sheetId="136" r:id="rId1"/>
    <sheet name="Edo Financiero 2023" sheetId="129" r:id="rId2"/>
    <sheet name="Edo Financiero 2024" sheetId="142" r:id="rId3"/>
    <sheet name="Mat. Prim 2023 BIOFERT sinitrab" sheetId="131" r:id="rId4"/>
    <sheet name="Mat. Prim 2023 BIOFERT" sheetId="125" r:id="rId5"/>
    <sheet name="Mat Prim 2024 BIOREP" sheetId="119" r:id="rId6"/>
    <sheet name="COSTOS TOTALES 2023" sheetId="118" state="hidden" r:id="rId7"/>
    <sheet name="TD" sheetId="116" r:id="rId8"/>
    <sheet name="BD" sheetId="79" r:id="rId9"/>
    <sheet name="xxx" sheetId="86" state="hidden" r:id="rId10"/>
    <sheet name="DASHBOARD" sheetId="117" r:id="rId11"/>
    <sheet name="Formulas Costeo" sheetId="120" r:id="rId12"/>
    <sheet name="MP E-S Ene 24" sheetId="115" r:id="rId13"/>
    <sheet name="Formulacion Ene 24" sheetId="97" r:id="rId14"/>
    <sheet name="COMPARATIVO COMERCIAL" sheetId="105" r:id="rId15"/>
    <sheet name="Crono Biofertilizantes" sheetId="127" r:id="rId16"/>
    <sheet name="Costeo BF" sheetId="128" r:id="rId17"/>
    <sheet name="Estim Aceites" sheetId="137" r:id="rId18"/>
    <sheet name="Miel" sheetId="135" r:id="rId19"/>
    <sheet name="Inv Fisico S20" sheetId="141" r:id="rId20"/>
    <sheet name="Inv Fisico" sheetId="134" r:id="rId21"/>
    <sheet name="Inv Fisico S19" sheetId="138" r:id="rId22"/>
    <sheet name="Salida semana 20" sheetId="140" r:id="rId23"/>
    <sheet name="MultiRoot" sheetId="69" state="hidden" r:id="rId24"/>
  </sheets>
  <externalReferences>
    <externalReference r:id="rId25"/>
    <externalReference r:id="rId26"/>
    <externalReference r:id="rId27"/>
    <externalReference r:id="rId28"/>
    <externalReference r:id="rId29"/>
  </externalReferences>
  <definedNames>
    <definedName name="_xlnm._FilterDatabase" localSheetId="8" hidden="1">BD!$B$10:$R$569</definedName>
    <definedName name="_xlnm._FilterDatabase" localSheetId="1" hidden="1">'Edo Financiero 2023'!$B$2:$P$239</definedName>
    <definedName name="_xlnm._FilterDatabase" localSheetId="2" hidden="1">'Edo Financiero 2024'!$B$2:$P$241</definedName>
    <definedName name="_xlnm._FilterDatabase" localSheetId="13" hidden="1">'Formulacion Ene 24'!$K$4:$R$110</definedName>
    <definedName name="_xlnm._FilterDatabase" localSheetId="11" hidden="1">'Formulas Costeo'!$K$4:$R$47</definedName>
    <definedName name="_xlnm._FilterDatabase" localSheetId="20" hidden="1">'Inv Fisico'!$B$8:$AA$254</definedName>
    <definedName name="_xlnm._FilterDatabase" localSheetId="21" hidden="1">'Inv Fisico S19'!$B$8:$AA$258</definedName>
    <definedName name="_xlnm._FilterDatabase" localSheetId="19" hidden="1">'Inv Fisico S20'!$B$8:$AA$66</definedName>
    <definedName name="_xlnm._FilterDatabase" localSheetId="5" hidden="1">'Mat Prim 2024 BIOREP'!$C$9:$X$85</definedName>
    <definedName name="_xlnm._FilterDatabase" localSheetId="4" hidden="1">'Mat. Prim 2023 BIOFERT'!$C$19:$X$72</definedName>
    <definedName name="_xlnm._FilterDatabase" localSheetId="3" hidden="1">'Mat. Prim 2023 BIOFERT sinitrab'!$C$19:$X$62</definedName>
    <definedName name="_xlnm._FilterDatabase" localSheetId="12" hidden="1">'MP E-S Ene 24'!$C$3:$L$45</definedName>
    <definedName name="_xlnm.Print_Area" localSheetId="14">'COMPARATIVO COMERCIAL'!$N$60:$X$65</definedName>
    <definedName name="_xlnm.Print_Area" localSheetId="18">Miel!$A$1:$S$22</definedName>
    <definedName name="_xlnm.Print_Area" localSheetId="12">'MP E-S Ene 24'!$C$3:$K$45</definedName>
    <definedName name="CINTA_CosB">OFFSET('[1]GRAF COSECHA SEM.'!$U$3,0,0,1,10)</definedName>
    <definedName name="CitroFol_D" localSheetId="6">Tabla16[CitroFol_D]</definedName>
    <definedName name="CitroFol_D" localSheetId="1">Tabla16[CitroFol_D]</definedName>
    <definedName name="CitroFol_D" localSheetId="2">Tabla16[CitroFol_D]</definedName>
    <definedName name="CitroFol_D" localSheetId="11">Tabla16[CitroFol_D]</definedName>
    <definedName name="CitroFol_D" localSheetId="18">Tabla16[CitroFol_D]</definedName>
    <definedName name="CitroFol_D">Tabla16[CitroFol_D]</definedName>
    <definedName name="Cliente" localSheetId="6">Tabla2[CLIENTE]</definedName>
    <definedName name="Cliente" localSheetId="2">Tabla2[CLIENTE]</definedName>
    <definedName name="Cliente" localSheetId="18">Tabla2[CLIENTE]</definedName>
    <definedName name="Cliente">Tabla2[CLIENTE]</definedName>
    <definedName name="Composta" localSheetId="6">Tabla16[Composta]</definedName>
    <definedName name="Composta" localSheetId="1">Tabla16[Composta]</definedName>
    <definedName name="Composta" localSheetId="2">Tabla16[Composta]</definedName>
    <definedName name="Composta" localSheetId="11">Tabla16[Composta]</definedName>
    <definedName name="Composta" localSheetId="18">Tabla16[Composta]</definedName>
    <definedName name="Composta">Tabla16[Composta]</definedName>
    <definedName name="Control_Biologico">xxx!$X$6:$X$8</definedName>
    <definedName name="Crisopas">xxx!$G$6:$G$9</definedName>
    <definedName name="Externo" localSheetId="6">Tabla6[Externo]</definedName>
    <definedName name="Externo" localSheetId="2">Tabla6[Externo]</definedName>
    <definedName name="Externo" localSheetId="18">Tabla6[Externo]</definedName>
    <definedName name="Externo">Tabla6[Externo]</definedName>
    <definedName name="final">'[2]GRAPH COSTO MP'!$C$34</definedName>
    <definedName name="final_B">'[1]GRAF EMBOLSE SEM.'!$L$39</definedName>
    <definedName name="final_CosB">'[1]GRAF COSECHA SEM.'!$A$39</definedName>
    <definedName name="final2" localSheetId="14" hidden="1">'[3]GRAPH COSTO MP'!$W$34</definedName>
    <definedName name="final2">'[2]GRAPH COSTO MP'!$W$34</definedName>
    <definedName name="Funciones_Activos_Fijos">[4]!Funciones_Activos_Fijos</definedName>
    <definedName name="Funciones_Catalogo">[4]!Funciones_Catalogo</definedName>
    <definedName name="Funciones_Componente">[4]!Funciones_Componente</definedName>
    <definedName name="Funciones_Devolucion">[4]!Funciones_Devolucion</definedName>
    <definedName name="Funciones_Empresa">[4]!Funciones_Empresa</definedName>
    <definedName name="Funciones_Fechas_Periodos">[4]!Funciones_Fechas_Periodos</definedName>
    <definedName name="Funciones_Movimientos">[4]!Funciones_Movimientos</definedName>
    <definedName name="Funciones_Polizas">[4]!Funciones_Polizas</definedName>
    <definedName name="Funciones_Saldos">[4]!Funciones_Saldos</definedName>
    <definedName name="Funciones_Tablas">[4]!Funciones_Tablas</definedName>
    <definedName name="inicio">'[2]GRAPH COSTO MP'!$B$3</definedName>
    <definedName name="inicio_B">'[1]GRAF EMBOLSE SEM.'!$K$3</definedName>
    <definedName name="inicio_CosB">'[1]GRAF COSECHA SEM.'!$B$3</definedName>
    <definedName name="inicio2" localSheetId="14" hidden="1">'[3]GRAPH COSTO MP'!$V$3</definedName>
    <definedName name="inicio2">'[2]GRAPH COSTO MP'!$V$3</definedName>
    <definedName name="Ir_Inicio">[4]!Ir_Inicio</definedName>
    <definedName name="Jadam">xxx!$I$6:$I$9</definedName>
    <definedName name="Lixiviado" localSheetId="6">Tabla16[Lixiviado]</definedName>
    <definedName name="Lixiviado" localSheetId="1">Tabla16[Lixiviado]</definedName>
    <definedName name="Lixiviado" localSheetId="2">Tabla16[Lixiviado]</definedName>
    <definedName name="Lixiviado" localSheetId="18">Tabla16[Lixiviado]</definedName>
    <definedName name="Lixiviado">Tabla16[Lixiviado]</definedName>
    <definedName name="MD_Citri">xxx!$K$6:$K$9</definedName>
    <definedName name="Miel">xxx!$H$6:$H$9</definedName>
    <definedName name="MultiRoot" localSheetId="6">Tabla16[MultiRoot]</definedName>
    <definedName name="MultiRoot" localSheetId="2">Tabla16[MultiRoot]</definedName>
    <definedName name="MultiRoot" localSheetId="18">Tabla16[MultiRoot]</definedName>
    <definedName name="MultiRoot">Tabla16[MultiRoot]</definedName>
    <definedName name="MultiRoot_P">xxx!$AB$6:$AB$7</definedName>
    <definedName name="Nitrabor_Liq" localSheetId="6">Tabla16[Nitrabor_Liq]</definedName>
    <definedName name="Nitrabor_Liq" localSheetId="2">Tabla16[Nitrabor_Liq]</definedName>
    <definedName name="Nitrabor_Liq" localSheetId="18">Tabla16[Nitrabor_Liq]</definedName>
    <definedName name="Nitrabor_Liq">Tabla16[Nitrabor_Liq]</definedName>
    <definedName name="SegmentaciónDeDatos_Años">#N/A</definedName>
    <definedName name="SegmentaciónDeDatos_CONCEPTO">#N/A</definedName>
    <definedName name="SegmentaciónDeDatos_Meses">#N/A</definedName>
    <definedName name="SegmentaciónDeDatos_OPERACIÓN">#N/A</definedName>
    <definedName name="Tema_2">[4]!Tema_2</definedName>
    <definedName name="Tema_3">[4]!Tema_3</definedName>
    <definedName name="Tema_4">[4]!Tema_4</definedName>
    <definedName name="Tema_5">[4]!Tema_5</definedName>
    <definedName name="Tema_6">[4]!Tema_6</definedName>
    <definedName name="Ter_Can" localSheetId="6">Tabla16[Ter_Can]</definedName>
    <definedName name="Ter_Can" localSheetId="2">Tabla16[Ter_Can]</definedName>
    <definedName name="Ter_Can" localSheetId="18">Tabla16[Ter_Can]</definedName>
    <definedName name="Ter_Can">Tabla16[Ter_Can]</definedName>
    <definedName name="Trips_AV">xxx!$J$6:$J$9</definedName>
    <definedName name="Vermicomposta" localSheetId="6">Tabla16[Vermicomposta]</definedName>
    <definedName name="Vermicomposta" localSheetId="2">Tabla16[Vermicomposta]</definedName>
    <definedName name="Vermicomposta" localSheetId="18">Tabla16[Vermicomposta]</definedName>
    <definedName name="Vermicomposta">Tabla16[Vermicomposta]</definedName>
    <definedName name="Zona_A">xxx!$AD$6:$AD$22</definedName>
    <definedName name="Zona_B">xxx!$AF$6:$AF$15</definedName>
    <definedName name="Zona_C">xxx!$AH$6:$AH$23</definedName>
    <definedName name="Zona_D">xxx!$AJ$6:$AJ$18</definedName>
    <definedName name="Zona_E">xxx!$AL$6:$AL$16</definedName>
    <definedName name="Zona_F">xxx!$AN$6:$AN$13</definedName>
    <definedName name="Zona_G">xxx!$AP$6:$AP$9</definedName>
    <definedName name="Zona_I">xxx!$AR$6:$AR$9</definedName>
    <definedName name="Zona_V">xxx!$AT$6:$AT$10</definedName>
  </definedNames>
  <calcPr calcId="191029"/>
  <pivotCaches>
    <pivotCache cacheId="0" r:id="rId30"/>
  </pivotCaches>
  <fileRecoveryPr autoRecover="0"/>
  <extLst>
    <ext xmlns:x14="http://schemas.microsoft.com/office/spreadsheetml/2009/9/main" uri="{BBE1A952-AA13-448e-AADC-164F8A28A991}">
      <x14:slicerCaches>
        <x14:slicerCache r:id="rId31"/>
        <x14:slicerCache r:id="rId32"/>
        <x14:slicerCache r:id="rId33"/>
        <x14:slicerCache r:id="rId3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65" i="142" l="1"/>
  <c r="H165" i="142"/>
  <c r="G165" i="142"/>
  <c r="F165" i="142"/>
  <c r="E165" i="142"/>
  <c r="G162" i="142" l="1"/>
  <c r="E162" i="142"/>
  <c r="I153" i="142"/>
  <c r="D154" i="142"/>
  <c r="D153" i="142" l="1"/>
  <c r="D152" i="142"/>
  <c r="G151" i="142"/>
  <c r="F151" i="142"/>
  <c r="E151" i="142"/>
  <c r="E149" i="142" s="1"/>
  <c r="D150" i="142" l="1"/>
  <c r="D232" i="142" l="1"/>
  <c r="W13" i="142" s="1"/>
  <c r="D229" i="142"/>
  <c r="P228" i="142"/>
  <c r="O228" i="142"/>
  <c r="N228" i="142"/>
  <c r="M228" i="142"/>
  <c r="L228" i="142"/>
  <c r="K228" i="142"/>
  <c r="J228" i="142"/>
  <c r="I228" i="142"/>
  <c r="H228" i="142"/>
  <c r="G228" i="142"/>
  <c r="F228" i="142"/>
  <c r="E228" i="142"/>
  <c r="P227" i="142"/>
  <c r="O227" i="142"/>
  <c r="N227" i="142"/>
  <c r="M227" i="142"/>
  <c r="L227" i="142"/>
  <c r="K227" i="142"/>
  <c r="J227" i="142"/>
  <c r="I227" i="142"/>
  <c r="H227" i="142"/>
  <c r="G227" i="142"/>
  <c r="F227" i="142"/>
  <c r="E227" i="142"/>
  <c r="P226" i="142"/>
  <c r="O226" i="142"/>
  <c r="N226" i="142"/>
  <c r="N221" i="142" s="1"/>
  <c r="M226" i="142"/>
  <c r="L226" i="142"/>
  <c r="L221" i="142" s="1"/>
  <c r="K226" i="142"/>
  <c r="J226" i="142"/>
  <c r="I226" i="142"/>
  <c r="H226" i="142"/>
  <c r="G226" i="142"/>
  <c r="F226" i="142"/>
  <c r="F221" i="142" s="1"/>
  <c r="E226" i="142"/>
  <c r="E221" i="142" s="1"/>
  <c r="P225" i="142"/>
  <c r="O225" i="142"/>
  <c r="N225" i="142"/>
  <c r="M225" i="142"/>
  <c r="L225" i="142"/>
  <c r="K225" i="142"/>
  <c r="K221" i="142" s="1"/>
  <c r="J225" i="142"/>
  <c r="I225" i="142"/>
  <c r="I221" i="142" s="1"/>
  <c r="H225" i="142"/>
  <c r="G225" i="142"/>
  <c r="F225" i="142"/>
  <c r="E225" i="142"/>
  <c r="D224" i="142"/>
  <c r="D223" i="142"/>
  <c r="D222" i="142"/>
  <c r="D218" i="142"/>
  <c r="D217" i="142"/>
  <c r="D216" i="142"/>
  <c r="D215" i="142"/>
  <c r="D214" i="142"/>
  <c r="D213" i="142"/>
  <c r="D212" i="142"/>
  <c r="D211" i="142"/>
  <c r="D210" i="142"/>
  <c r="P209" i="142"/>
  <c r="O209" i="142"/>
  <c r="N209" i="142"/>
  <c r="M209" i="142"/>
  <c r="L209" i="142"/>
  <c r="K209" i="142"/>
  <c r="J209" i="142"/>
  <c r="I209" i="142"/>
  <c r="H209" i="142"/>
  <c r="G209" i="142"/>
  <c r="F209" i="142"/>
  <c r="E209" i="142"/>
  <c r="P208" i="142"/>
  <c r="O208" i="142"/>
  <c r="N208" i="142"/>
  <c r="M208" i="142"/>
  <c r="L208" i="142"/>
  <c r="K208" i="142"/>
  <c r="J208" i="142"/>
  <c r="I208" i="142"/>
  <c r="H208" i="142"/>
  <c r="G208" i="142"/>
  <c r="F208" i="142"/>
  <c r="E208" i="142"/>
  <c r="P207" i="142"/>
  <c r="O207" i="142"/>
  <c r="N207" i="142"/>
  <c r="M207" i="142"/>
  <c r="L207" i="142"/>
  <c r="K207" i="142"/>
  <c r="J207" i="142"/>
  <c r="I207" i="142"/>
  <c r="H207" i="142"/>
  <c r="G207" i="142"/>
  <c r="F207" i="142"/>
  <c r="E207" i="142"/>
  <c r="P206" i="142"/>
  <c r="O206" i="142"/>
  <c r="N206" i="142"/>
  <c r="M206" i="142"/>
  <c r="L206" i="142"/>
  <c r="K206" i="142"/>
  <c r="J206" i="142"/>
  <c r="I206" i="142"/>
  <c r="H206" i="142"/>
  <c r="G206" i="142"/>
  <c r="F206" i="142"/>
  <c r="E206" i="142"/>
  <c r="P205" i="142"/>
  <c r="O205" i="142"/>
  <c r="N205" i="142"/>
  <c r="M205" i="142"/>
  <c r="L205" i="142"/>
  <c r="K205" i="142"/>
  <c r="J205" i="142"/>
  <c r="I205" i="142"/>
  <c r="H205" i="142"/>
  <c r="G205" i="142"/>
  <c r="F205" i="142"/>
  <c r="E205" i="142"/>
  <c r="N204" i="142"/>
  <c r="M204" i="142"/>
  <c r="L204" i="142"/>
  <c r="K204" i="142"/>
  <c r="J204" i="142"/>
  <c r="I204" i="142"/>
  <c r="H204" i="142"/>
  <c r="G204" i="142"/>
  <c r="F204" i="142"/>
  <c r="E204" i="142"/>
  <c r="P203" i="142"/>
  <c r="P201" i="142" s="1"/>
  <c r="O203" i="142"/>
  <c r="O201" i="142" s="1"/>
  <c r="N203" i="142"/>
  <c r="N201" i="142" s="1"/>
  <c r="M203" i="142"/>
  <c r="M201" i="142" s="1"/>
  <c r="L203" i="142"/>
  <c r="K203" i="142"/>
  <c r="J203" i="142"/>
  <c r="I203" i="142"/>
  <c r="I201" i="142" s="1"/>
  <c r="H203" i="142"/>
  <c r="H201" i="142" s="1"/>
  <c r="G203" i="142"/>
  <c r="G201" i="142" s="1"/>
  <c r="F203" i="142"/>
  <c r="F201" i="142" s="1"/>
  <c r="E203" i="142"/>
  <c r="L201" i="142"/>
  <c r="K201" i="142"/>
  <c r="J201" i="142"/>
  <c r="D199" i="142"/>
  <c r="D198" i="142"/>
  <c r="D197" i="142"/>
  <c r="D196" i="142"/>
  <c r="D195" i="142"/>
  <c r="D194" i="142"/>
  <c r="D193" i="142"/>
  <c r="D192" i="142"/>
  <c r="D191" i="142"/>
  <c r="D190" i="142"/>
  <c r="D189" i="142"/>
  <c r="P188" i="142"/>
  <c r="O188" i="142"/>
  <c r="D187" i="142"/>
  <c r="N186" i="142"/>
  <c r="M186" i="142"/>
  <c r="L186" i="142"/>
  <c r="K186" i="142"/>
  <c r="J186" i="142"/>
  <c r="I186" i="142"/>
  <c r="H186" i="142"/>
  <c r="G186" i="142"/>
  <c r="F186" i="142"/>
  <c r="E186" i="142"/>
  <c r="D185" i="142"/>
  <c r="D184" i="142"/>
  <c r="P183" i="142"/>
  <c r="P180" i="142" s="1"/>
  <c r="P234" i="142" s="1"/>
  <c r="D183" i="142"/>
  <c r="D182" i="142"/>
  <c r="D181" i="142"/>
  <c r="O180" i="142"/>
  <c r="O234" i="142" s="1"/>
  <c r="N180" i="142"/>
  <c r="N234" i="142" s="1"/>
  <c r="M180" i="142"/>
  <c r="M234" i="142" s="1"/>
  <c r="L180" i="142"/>
  <c r="L234" i="142" s="1"/>
  <c r="K180" i="142"/>
  <c r="K234" i="142" s="1"/>
  <c r="J180" i="142"/>
  <c r="J234" i="142" s="1"/>
  <c r="I180" i="142"/>
  <c r="I234" i="142" s="1"/>
  <c r="H180" i="142"/>
  <c r="H234" i="142" s="1"/>
  <c r="G180" i="142"/>
  <c r="G234" i="142" s="1"/>
  <c r="F180" i="142"/>
  <c r="F234" i="142" s="1"/>
  <c r="E180" i="142"/>
  <c r="D170" i="142"/>
  <c r="V13" i="142" s="1"/>
  <c r="D167" i="142"/>
  <c r="P166" i="142"/>
  <c r="O166" i="142"/>
  <c r="N166" i="142"/>
  <c r="M166" i="142"/>
  <c r="L166" i="142"/>
  <c r="K166" i="142"/>
  <c r="J166" i="142"/>
  <c r="I166" i="142"/>
  <c r="H166" i="142"/>
  <c r="G166" i="142"/>
  <c r="F166" i="142"/>
  <c r="E166" i="142"/>
  <c r="I164" i="142"/>
  <c r="H164" i="142"/>
  <c r="G164" i="142"/>
  <c r="F164" i="142"/>
  <c r="E164" i="142"/>
  <c r="O159" i="142"/>
  <c r="K159" i="142"/>
  <c r="I163" i="142"/>
  <c r="H163" i="142"/>
  <c r="G163" i="142"/>
  <c r="G159" i="142" s="1"/>
  <c r="F163" i="142"/>
  <c r="E163" i="142"/>
  <c r="D162" i="142"/>
  <c r="D161" i="142"/>
  <c r="D160" i="142"/>
  <c r="H159" i="142"/>
  <c r="D156" i="142"/>
  <c r="D155" i="142"/>
  <c r="P149" i="142"/>
  <c r="O149" i="142"/>
  <c r="N149" i="142"/>
  <c r="M149" i="142"/>
  <c r="L149" i="142"/>
  <c r="K149" i="142"/>
  <c r="I149" i="142"/>
  <c r="H149" i="142"/>
  <c r="G149" i="142"/>
  <c r="F149" i="142"/>
  <c r="P148" i="142"/>
  <c r="O148" i="142"/>
  <c r="N148" i="142"/>
  <c r="M148" i="142"/>
  <c r="L148" i="142"/>
  <c r="K148" i="142"/>
  <c r="J148" i="142"/>
  <c r="I148" i="142"/>
  <c r="H148" i="142"/>
  <c r="G148" i="142"/>
  <c r="F148" i="142"/>
  <c r="E148" i="142"/>
  <c r="P147" i="142"/>
  <c r="O147" i="142"/>
  <c r="N147" i="142"/>
  <c r="M147" i="142"/>
  <c r="L147" i="142"/>
  <c r="K147" i="142"/>
  <c r="J147" i="142"/>
  <c r="I147" i="142"/>
  <c r="H147" i="142"/>
  <c r="G147" i="142"/>
  <c r="F147" i="142"/>
  <c r="E147" i="142"/>
  <c r="P146" i="142"/>
  <c r="O146" i="142"/>
  <c r="N146" i="142"/>
  <c r="M146" i="142"/>
  <c r="L146" i="142"/>
  <c r="K146" i="142"/>
  <c r="J146" i="142"/>
  <c r="I146" i="142"/>
  <c r="H146" i="142"/>
  <c r="G146" i="142"/>
  <c r="F146" i="142"/>
  <c r="E146" i="142"/>
  <c r="P145" i="142"/>
  <c r="O145" i="142"/>
  <c r="N145" i="142"/>
  <c r="M145" i="142"/>
  <c r="L145" i="142"/>
  <c r="K145" i="142"/>
  <c r="J145" i="142"/>
  <c r="I145" i="142"/>
  <c r="H145" i="142"/>
  <c r="G145" i="142"/>
  <c r="F145" i="142"/>
  <c r="E145" i="142"/>
  <c r="P144" i="142"/>
  <c r="O144" i="142"/>
  <c r="N144" i="142"/>
  <c r="M144" i="142"/>
  <c r="L144" i="142"/>
  <c r="K144" i="142"/>
  <c r="J144" i="142"/>
  <c r="I144" i="142"/>
  <c r="H144" i="142"/>
  <c r="G144" i="142"/>
  <c r="F144" i="142"/>
  <c r="E144" i="142"/>
  <c r="P143" i="142"/>
  <c r="O143" i="142"/>
  <c r="N143" i="142"/>
  <c r="M143" i="142"/>
  <c r="L143" i="142"/>
  <c r="K143" i="142"/>
  <c r="J143" i="142"/>
  <c r="I143" i="142"/>
  <c r="H143" i="142"/>
  <c r="G143" i="142"/>
  <c r="F143" i="142"/>
  <c r="E143" i="142"/>
  <c r="P142" i="142"/>
  <c r="O142" i="142"/>
  <c r="N142" i="142"/>
  <c r="M142" i="142"/>
  <c r="L142" i="142"/>
  <c r="K142" i="142"/>
  <c r="J142" i="142"/>
  <c r="I142" i="142"/>
  <c r="G142" i="142"/>
  <c r="P141" i="142"/>
  <c r="O141" i="142"/>
  <c r="N141" i="142"/>
  <c r="M141" i="142"/>
  <c r="L141" i="142"/>
  <c r="K141" i="142"/>
  <c r="J141" i="142"/>
  <c r="I141" i="142"/>
  <c r="H141" i="142"/>
  <c r="G141" i="142"/>
  <c r="F141" i="142"/>
  <c r="E141" i="142"/>
  <c r="P140" i="142"/>
  <c r="O140" i="142"/>
  <c r="N140" i="142"/>
  <c r="M140" i="142"/>
  <c r="L140" i="142"/>
  <c r="K140" i="142"/>
  <c r="J140" i="142"/>
  <c r="I140" i="142"/>
  <c r="G140" i="142"/>
  <c r="P139" i="142"/>
  <c r="O139" i="142"/>
  <c r="N139" i="142"/>
  <c r="N138" i="142" s="1"/>
  <c r="M139" i="142"/>
  <c r="L139" i="142"/>
  <c r="K139" i="142"/>
  <c r="J139" i="142"/>
  <c r="J138" i="142" s="1"/>
  <c r="I139" i="142"/>
  <c r="H139" i="142"/>
  <c r="G139" i="142"/>
  <c r="F139" i="142"/>
  <c r="E139" i="142"/>
  <c r="D137" i="142"/>
  <c r="D136" i="142"/>
  <c r="D135" i="142"/>
  <c r="D134" i="142"/>
  <c r="D133" i="142"/>
  <c r="D132" i="142"/>
  <c r="D131" i="142"/>
  <c r="D130" i="142"/>
  <c r="D129" i="142"/>
  <c r="D128" i="142"/>
  <c r="D127" i="142"/>
  <c r="D126" i="142"/>
  <c r="D125" i="142"/>
  <c r="D124" i="142"/>
  <c r="D123" i="142"/>
  <c r="D122" i="142"/>
  <c r="H121" i="142"/>
  <c r="H140" i="142" s="1"/>
  <c r="F121" i="142"/>
  <c r="F142" i="142" s="1"/>
  <c r="E121" i="142"/>
  <c r="D120" i="142"/>
  <c r="P119" i="142"/>
  <c r="O119" i="142"/>
  <c r="N119" i="142"/>
  <c r="M119" i="142"/>
  <c r="L119" i="142"/>
  <c r="K119" i="142"/>
  <c r="J119" i="142"/>
  <c r="I119" i="142"/>
  <c r="G119" i="142"/>
  <c r="D118" i="142"/>
  <c r="D117" i="142"/>
  <c r="D116" i="142"/>
  <c r="D115" i="142"/>
  <c r="P114" i="142"/>
  <c r="P172" i="142" s="1"/>
  <c r="O114" i="142"/>
  <c r="O172" i="142" s="1"/>
  <c r="N114" i="142"/>
  <c r="N172" i="142" s="1"/>
  <c r="M114" i="142"/>
  <c r="M172" i="142" s="1"/>
  <c r="L114" i="142"/>
  <c r="L172" i="142" s="1"/>
  <c r="K114" i="142"/>
  <c r="K172" i="142" s="1"/>
  <c r="J114" i="142"/>
  <c r="I114" i="142"/>
  <c r="H114" i="142"/>
  <c r="G114" i="142"/>
  <c r="G172" i="142" s="1"/>
  <c r="F114" i="142"/>
  <c r="F172" i="142" s="1"/>
  <c r="E114" i="142"/>
  <c r="E172" i="142" s="1"/>
  <c r="D112" i="142"/>
  <c r="D110" i="142"/>
  <c r="D108" i="142"/>
  <c r="D106" i="142"/>
  <c r="D99" i="142"/>
  <c r="U13" i="142" s="1"/>
  <c r="D96" i="142"/>
  <c r="P95" i="142"/>
  <c r="P103" i="142" s="1"/>
  <c r="O95" i="142"/>
  <c r="O103" i="142" s="1"/>
  <c r="N95" i="142"/>
  <c r="N103" i="142" s="1"/>
  <c r="M95" i="142"/>
  <c r="M103" i="142" s="1"/>
  <c r="L95" i="142"/>
  <c r="L103" i="142" s="1"/>
  <c r="K95" i="142"/>
  <c r="K103" i="142" s="1"/>
  <c r="J95" i="142"/>
  <c r="J103" i="142" s="1"/>
  <c r="I95" i="142"/>
  <c r="I103" i="142" s="1"/>
  <c r="H95" i="142"/>
  <c r="H103" i="142" s="1"/>
  <c r="G95" i="142"/>
  <c r="G103" i="142" s="1"/>
  <c r="F95" i="142"/>
  <c r="F103" i="142" s="1"/>
  <c r="E95" i="142"/>
  <c r="P94" i="142"/>
  <c r="O94" i="142"/>
  <c r="N94" i="142"/>
  <c r="M94" i="142"/>
  <c r="L94" i="142"/>
  <c r="K94" i="142"/>
  <c r="J94" i="142"/>
  <c r="I94" i="142"/>
  <c r="H94" i="142"/>
  <c r="G94" i="142"/>
  <c r="F94" i="142"/>
  <c r="E94" i="142"/>
  <c r="P93" i="142"/>
  <c r="O93" i="142"/>
  <c r="O86" i="142" s="1"/>
  <c r="O102" i="142" s="1"/>
  <c r="N93" i="142"/>
  <c r="M93" i="142"/>
  <c r="L93" i="142"/>
  <c r="K93" i="142"/>
  <c r="J93" i="142"/>
  <c r="I93" i="142"/>
  <c r="I86" i="142" s="1"/>
  <c r="I102" i="142" s="1"/>
  <c r="H93" i="142"/>
  <c r="G93" i="142"/>
  <c r="F93" i="142"/>
  <c r="E93" i="142"/>
  <c r="P92" i="142"/>
  <c r="O92" i="142"/>
  <c r="N92" i="142"/>
  <c r="M92" i="142"/>
  <c r="M86" i="142" s="1"/>
  <c r="M102" i="142" s="1"/>
  <c r="L92" i="142"/>
  <c r="K92" i="142"/>
  <c r="K86" i="142" s="1"/>
  <c r="K102" i="142" s="1"/>
  <c r="J92" i="142"/>
  <c r="I92" i="142"/>
  <c r="H92" i="142"/>
  <c r="G92" i="142"/>
  <c r="F92" i="142"/>
  <c r="E92" i="142"/>
  <c r="D91" i="142"/>
  <c r="D90" i="142"/>
  <c r="D89" i="142"/>
  <c r="D88" i="142"/>
  <c r="D87" i="142"/>
  <c r="H86" i="142"/>
  <c r="H102" i="142" s="1"/>
  <c r="F86" i="142"/>
  <c r="F102" i="142" s="1"/>
  <c r="D83" i="142"/>
  <c r="D82" i="142"/>
  <c r="D81" i="142"/>
  <c r="D80" i="142"/>
  <c r="P79" i="142"/>
  <c r="O79" i="142"/>
  <c r="L79" i="142"/>
  <c r="K79" i="142"/>
  <c r="K74" i="142" s="1"/>
  <c r="K101" i="142" s="1"/>
  <c r="D78" i="142"/>
  <c r="D77" i="142"/>
  <c r="D76" i="142"/>
  <c r="D75" i="142"/>
  <c r="P74" i="142"/>
  <c r="N74" i="142"/>
  <c r="N101" i="142" s="1"/>
  <c r="M74" i="142"/>
  <c r="M101" i="142" s="1"/>
  <c r="L74" i="142"/>
  <c r="L101" i="142" s="1"/>
  <c r="J74" i="142"/>
  <c r="J101" i="142" s="1"/>
  <c r="I74" i="142"/>
  <c r="I101" i="142" s="1"/>
  <c r="H74" i="142"/>
  <c r="H101" i="142" s="1"/>
  <c r="G74" i="142"/>
  <c r="G101" i="142" s="1"/>
  <c r="F74" i="142"/>
  <c r="F101" i="142" s="1"/>
  <c r="E74" i="142"/>
  <c r="N73" i="142"/>
  <c r="L73" i="142"/>
  <c r="J73" i="142"/>
  <c r="I73" i="142"/>
  <c r="H73" i="142"/>
  <c r="F73" i="142"/>
  <c r="E73" i="142"/>
  <c r="P72" i="142"/>
  <c r="O72" i="142"/>
  <c r="N72" i="142"/>
  <c r="M72" i="142"/>
  <c r="L72" i="142"/>
  <c r="K72" i="142"/>
  <c r="J72" i="142"/>
  <c r="I72" i="142"/>
  <c r="H72" i="142"/>
  <c r="G72" i="142"/>
  <c r="F72" i="142"/>
  <c r="E72" i="142"/>
  <c r="D70" i="142"/>
  <c r="D69" i="142"/>
  <c r="D68" i="142"/>
  <c r="P67" i="142"/>
  <c r="P65" i="142" s="1"/>
  <c r="O67" i="142"/>
  <c r="O73" i="142" s="1"/>
  <c r="M67" i="142"/>
  <c r="M73" i="142" s="1"/>
  <c r="K67" i="142"/>
  <c r="K73" i="142" s="1"/>
  <c r="G67" i="142"/>
  <c r="D66" i="142"/>
  <c r="N65" i="142"/>
  <c r="M65" i="142"/>
  <c r="L65" i="142"/>
  <c r="J65" i="142"/>
  <c r="I65" i="142"/>
  <c r="H65" i="142"/>
  <c r="F65" i="142"/>
  <c r="E65" i="142"/>
  <c r="D64" i="142"/>
  <c r="D63" i="142" s="1"/>
  <c r="U3" i="142" s="1"/>
  <c r="P63" i="142"/>
  <c r="O63" i="142"/>
  <c r="N63" i="142"/>
  <c r="M63" i="142"/>
  <c r="L63" i="142"/>
  <c r="K63" i="142"/>
  <c r="J63" i="142"/>
  <c r="I63" i="142"/>
  <c r="H63" i="142"/>
  <c r="G63" i="142"/>
  <c r="F63" i="142"/>
  <c r="E63" i="142"/>
  <c r="D55" i="142"/>
  <c r="T13" i="142" s="1"/>
  <c r="D52" i="142"/>
  <c r="P51" i="142"/>
  <c r="P59" i="142" s="1"/>
  <c r="O51" i="142"/>
  <c r="O59" i="142" s="1"/>
  <c r="N51" i="142"/>
  <c r="N59" i="142" s="1"/>
  <c r="M51" i="142"/>
  <c r="M59" i="142" s="1"/>
  <c r="L51" i="142"/>
  <c r="L59" i="142" s="1"/>
  <c r="K51" i="142"/>
  <c r="K59" i="142" s="1"/>
  <c r="J51" i="142"/>
  <c r="I51" i="142"/>
  <c r="I59" i="142" s="1"/>
  <c r="H51" i="142"/>
  <c r="H59" i="142" s="1"/>
  <c r="G51" i="142"/>
  <c r="G59" i="142" s="1"/>
  <c r="F51" i="142"/>
  <c r="F59" i="142" s="1"/>
  <c r="E51" i="142"/>
  <c r="E59" i="142" s="1"/>
  <c r="P50" i="142"/>
  <c r="O50" i="142"/>
  <c r="N50" i="142"/>
  <c r="M50" i="142"/>
  <c r="L50" i="142"/>
  <c r="K50" i="142"/>
  <c r="J50" i="142"/>
  <c r="I50" i="142"/>
  <c r="H50" i="142"/>
  <c r="G50" i="142"/>
  <c r="F50" i="142"/>
  <c r="E50" i="142"/>
  <c r="P49" i="142"/>
  <c r="O49" i="142"/>
  <c r="N49" i="142"/>
  <c r="M49" i="142"/>
  <c r="L49" i="142"/>
  <c r="K49" i="142"/>
  <c r="J49" i="142"/>
  <c r="J44" i="142" s="1"/>
  <c r="I49" i="142"/>
  <c r="H49" i="142"/>
  <c r="G49" i="142"/>
  <c r="F49" i="142"/>
  <c r="E49" i="142"/>
  <c r="P48" i="142"/>
  <c r="O48" i="142"/>
  <c r="N48" i="142"/>
  <c r="M48" i="142"/>
  <c r="L48" i="142"/>
  <c r="K48" i="142"/>
  <c r="J48" i="142"/>
  <c r="I48" i="142"/>
  <c r="I44" i="142" s="1"/>
  <c r="H48" i="142"/>
  <c r="G48" i="142"/>
  <c r="G44" i="142" s="1"/>
  <c r="G58" i="142" s="1"/>
  <c r="F48" i="142"/>
  <c r="E48" i="142"/>
  <c r="D47" i="142"/>
  <c r="D46" i="142"/>
  <c r="D45" i="142"/>
  <c r="M44" i="142"/>
  <c r="D41" i="142"/>
  <c r="D40" i="142"/>
  <c r="D39" i="142"/>
  <c r="D38" i="142"/>
  <c r="D37" i="142"/>
  <c r="O36" i="142"/>
  <c r="L36" i="142"/>
  <c r="K36" i="142"/>
  <c r="D35" i="142"/>
  <c r="D34" i="142"/>
  <c r="D33" i="142"/>
  <c r="D32" i="142"/>
  <c r="P31" i="142"/>
  <c r="P57" i="142" s="1"/>
  <c r="P61" i="142" s="1"/>
  <c r="O31" i="142"/>
  <c r="O57" i="142" s="1"/>
  <c r="O61" i="142" s="1"/>
  <c r="N31" i="142"/>
  <c r="M31" i="142"/>
  <c r="M57" i="142" s="1"/>
  <c r="L31" i="142"/>
  <c r="L57" i="142" s="1"/>
  <c r="J31" i="142"/>
  <c r="J57" i="142" s="1"/>
  <c r="I31" i="142"/>
  <c r="I57" i="142" s="1"/>
  <c r="I61" i="142" s="1"/>
  <c r="H31" i="142"/>
  <c r="H57" i="142" s="1"/>
  <c r="H61" i="142" s="1"/>
  <c r="G31" i="142"/>
  <c r="G57" i="142" s="1"/>
  <c r="G61" i="142" s="1"/>
  <c r="F31" i="142"/>
  <c r="E31" i="142"/>
  <c r="P30" i="142"/>
  <c r="O30" i="142"/>
  <c r="N30" i="142"/>
  <c r="M30" i="142"/>
  <c r="L30" i="142"/>
  <c r="K30" i="142"/>
  <c r="J30" i="142"/>
  <c r="I30" i="142"/>
  <c r="H30" i="142"/>
  <c r="G30" i="142"/>
  <c r="F30" i="142"/>
  <c r="E30" i="142"/>
  <c r="P29" i="142"/>
  <c r="O29" i="142"/>
  <c r="N29" i="142"/>
  <c r="M29" i="142"/>
  <c r="L29" i="142"/>
  <c r="K29" i="142"/>
  <c r="J29" i="142"/>
  <c r="I29" i="142"/>
  <c r="H29" i="142"/>
  <c r="G29" i="142"/>
  <c r="F29" i="142"/>
  <c r="E29" i="142"/>
  <c r="D26" i="142"/>
  <c r="D25" i="142"/>
  <c r="D24" i="142"/>
  <c r="D23" i="142"/>
  <c r="D22" i="142"/>
  <c r="D21" i="142"/>
  <c r="P20" i="142"/>
  <c r="P28" i="142" s="1"/>
  <c r="P27" i="142" s="1"/>
  <c r="O20" i="142"/>
  <c r="O28" i="142" s="1"/>
  <c r="N20" i="142"/>
  <c r="N28" i="142" s="1"/>
  <c r="M20" i="142"/>
  <c r="M19" i="142" s="1"/>
  <c r="L20" i="142"/>
  <c r="L19" i="142" s="1"/>
  <c r="K20" i="142"/>
  <c r="K19" i="142" s="1"/>
  <c r="J20" i="142"/>
  <c r="J28" i="142" s="1"/>
  <c r="I20" i="142"/>
  <c r="I28" i="142" s="1"/>
  <c r="H20" i="142"/>
  <c r="H28" i="142" s="1"/>
  <c r="H27" i="142" s="1"/>
  <c r="G20" i="142"/>
  <c r="G28" i="142" s="1"/>
  <c r="F20" i="142"/>
  <c r="F28" i="142" s="1"/>
  <c r="E20" i="142"/>
  <c r="E19" i="142" s="1"/>
  <c r="E18" i="142"/>
  <c r="D18" i="142" s="1"/>
  <c r="D17" i="142"/>
  <c r="P16" i="142"/>
  <c r="O16" i="142"/>
  <c r="N16" i="142"/>
  <c r="M16" i="142"/>
  <c r="L16" i="142"/>
  <c r="K16" i="142"/>
  <c r="J16" i="142"/>
  <c r="I16" i="142"/>
  <c r="H16" i="142"/>
  <c r="G16" i="142"/>
  <c r="F16" i="142"/>
  <c r="P13" i="142"/>
  <c r="O13" i="142"/>
  <c r="N13" i="142"/>
  <c r="M13" i="142"/>
  <c r="L13" i="142"/>
  <c r="K13" i="142"/>
  <c r="J13" i="142"/>
  <c r="I13" i="142"/>
  <c r="H13" i="142"/>
  <c r="G13" i="142"/>
  <c r="F13" i="142"/>
  <c r="E13" i="142"/>
  <c r="U10" i="142"/>
  <c r="O44" i="142" l="1"/>
  <c r="O58" i="142" s="1"/>
  <c r="K44" i="142"/>
  <c r="K58" i="142" s="1"/>
  <c r="D94" i="142"/>
  <c r="J159" i="142"/>
  <c r="N159" i="142"/>
  <c r="N173" i="142" s="1"/>
  <c r="O221" i="142"/>
  <c r="H119" i="142"/>
  <c r="H221" i="142"/>
  <c r="I138" i="142"/>
  <c r="D165" i="142"/>
  <c r="L44" i="142"/>
  <c r="L58" i="142" s="1"/>
  <c r="E16" i="142"/>
  <c r="L86" i="142"/>
  <c r="L102" i="142" s="1"/>
  <c r="N86" i="142"/>
  <c r="N102" i="142" s="1"/>
  <c r="H142" i="142"/>
  <c r="M159" i="142"/>
  <c r="M173" i="142" s="1"/>
  <c r="I159" i="142"/>
  <c r="I9" i="142" s="1"/>
  <c r="L159" i="142"/>
  <c r="G86" i="142"/>
  <c r="G102" i="142" s="1"/>
  <c r="H44" i="142"/>
  <c r="H58" i="142" s="1"/>
  <c r="P44" i="142"/>
  <c r="P58" i="142" s="1"/>
  <c r="O65" i="142"/>
  <c r="P86" i="142"/>
  <c r="P102" i="142" s="1"/>
  <c r="P159" i="142"/>
  <c r="P173" i="142" s="1"/>
  <c r="D226" i="142"/>
  <c r="P221" i="142"/>
  <c r="P235" i="142" s="1"/>
  <c r="F44" i="142"/>
  <c r="N44" i="142"/>
  <c r="D67" i="142"/>
  <c r="J86" i="142"/>
  <c r="J102" i="142" s="1"/>
  <c r="K138" i="142"/>
  <c r="K157" i="142" s="1"/>
  <c r="K168" i="142" s="1"/>
  <c r="K169" i="142" s="1"/>
  <c r="J221" i="142"/>
  <c r="M221" i="142"/>
  <c r="N157" i="142"/>
  <c r="L138" i="142"/>
  <c r="L157" i="142" s="1"/>
  <c r="D16" i="142"/>
  <c r="T3" i="142" s="1"/>
  <c r="N19" i="142"/>
  <c r="N4" i="142" s="1"/>
  <c r="M4" i="142"/>
  <c r="M236" i="142"/>
  <c r="G10" i="142"/>
  <c r="G138" i="142"/>
  <c r="G157" i="142" s="1"/>
  <c r="G168" i="142" s="1"/>
  <c r="G169" i="142" s="1"/>
  <c r="O138" i="142"/>
  <c r="O157" i="142" s="1"/>
  <c r="O168" i="142" s="1"/>
  <c r="O169" i="142" s="1"/>
  <c r="D144" i="142"/>
  <c r="L174" i="142"/>
  <c r="G3" i="142"/>
  <c r="O3" i="142"/>
  <c r="H173" i="142"/>
  <c r="L71" i="142"/>
  <c r="L84" i="142" s="1"/>
  <c r="H71" i="142"/>
  <c r="H84" i="142" s="1"/>
  <c r="M71" i="142"/>
  <c r="M84" i="142" s="1"/>
  <c r="L6" i="142"/>
  <c r="F19" i="142"/>
  <c r="F10" i="142"/>
  <c r="O27" i="142"/>
  <c r="O42" i="142" s="1"/>
  <c r="O53" i="142" s="1"/>
  <c r="O54" i="142" s="1"/>
  <c r="H19" i="142"/>
  <c r="G19" i="142"/>
  <c r="O19" i="142"/>
  <c r="E3" i="142"/>
  <c r="L3" i="142"/>
  <c r="I71" i="142"/>
  <c r="I84" i="142" s="1"/>
  <c r="I97" i="142" s="1"/>
  <c r="I98" i="142" s="1"/>
  <c r="H100" i="142"/>
  <c r="H104" i="142" s="1"/>
  <c r="H107" i="142" s="1"/>
  <c r="H3" i="142"/>
  <c r="I157" i="142"/>
  <c r="I158" i="142" s="1"/>
  <c r="L202" i="142"/>
  <c r="L200" i="142" s="1"/>
  <c r="L219" i="142" s="1"/>
  <c r="F202" i="142"/>
  <c r="F200" i="142" s="1"/>
  <c r="F219" i="142" s="1"/>
  <c r="F230" i="142" s="1"/>
  <c r="F231" i="142" s="1"/>
  <c r="K9" i="142"/>
  <c r="I235" i="142"/>
  <c r="L236" i="142"/>
  <c r="G174" i="142"/>
  <c r="O174" i="142"/>
  <c r="H10" i="142"/>
  <c r="I10" i="142"/>
  <c r="F3" i="142"/>
  <c r="N3" i="142"/>
  <c r="F100" i="142"/>
  <c r="F104" i="142" s="1"/>
  <c r="F111" i="142" s="1"/>
  <c r="N100" i="142"/>
  <c r="N104" i="142" s="1"/>
  <c r="N109" i="142" s="1"/>
  <c r="D148" i="142"/>
  <c r="P174" i="142"/>
  <c r="G6" i="142"/>
  <c r="P10" i="142"/>
  <c r="E6" i="142"/>
  <c r="M3" i="142"/>
  <c r="I6" i="142"/>
  <c r="H236" i="142"/>
  <c r="M6" i="142"/>
  <c r="I19" i="142"/>
  <c r="I4" i="142" s="1"/>
  <c r="J27" i="142"/>
  <c r="J42" i="142" s="1"/>
  <c r="J71" i="142"/>
  <c r="J84" i="142" s="1"/>
  <c r="J97" i="142" s="1"/>
  <c r="J98" i="142" s="1"/>
  <c r="E236" i="142"/>
  <c r="D207" i="142"/>
  <c r="O235" i="142"/>
  <c r="J236" i="142"/>
  <c r="I27" i="142"/>
  <c r="I42" i="142" s="1"/>
  <c r="K71" i="142"/>
  <c r="K84" i="142" s="1"/>
  <c r="D143" i="142"/>
  <c r="J173" i="142"/>
  <c r="H174" i="142"/>
  <c r="P3" i="142"/>
  <c r="M10" i="142"/>
  <c r="M58" i="142"/>
  <c r="M56" i="142" s="1"/>
  <c r="M60" i="142" s="1"/>
  <c r="L4" i="142"/>
  <c r="D114" i="142"/>
  <c r="V3" i="142" s="1"/>
  <c r="G173" i="142"/>
  <c r="O173" i="142"/>
  <c r="J174" i="142"/>
  <c r="G202" i="142"/>
  <c r="J235" i="142"/>
  <c r="J233" i="142" s="1"/>
  <c r="J238" i="142" s="1"/>
  <c r="E235" i="142"/>
  <c r="M235" i="142"/>
  <c r="M233" i="142" s="1"/>
  <c r="M138" i="142"/>
  <c r="M157" i="142" s="1"/>
  <c r="D146" i="142"/>
  <c r="E234" i="142"/>
  <c r="D234" i="142" s="1"/>
  <c r="O10" i="142"/>
  <c r="P19" i="142"/>
  <c r="F71" i="142"/>
  <c r="F84" i="142" s="1"/>
  <c r="F85" i="142" s="1"/>
  <c r="N71" i="142"/>
  <c r="N84" i="142" s="1"/>
  <c r="N97" i="142" s="1"/>
  <c r="N98" i="142" s="1"/>
  <c r="K174" i="142"/>
  <c r="H172" i="142"/>
  <c r="D205" i="142"/>
  <c r="M202" i="142"/>
  <c r="M200" i="142" s="1"/>
  <c r="M219" i="142" s="1"/>
  <c r="I202" i="142"/>
  <c r="I200" i="142" s="1"/>
  <c r="O9" i="142"/>
  <c r="D13" i="142"/>
  <c r="S13" i="142" s="1"/>
  <c r="D20" i="142"/>
  <c r="D19" i="142" s="1"/>
  <c r="T4" i="142" s="1"/>
  <c r="K100" i="142"/>
  <c r="K104" i="142" s="1"/>
  <c r="N202" i="142"/>
  <c r="N200" i="142" s="1"/>
  <c r="N219" i="142" s="1"/>
  <c r="N230" i="142" s="1"/>
  <c r="N231" i="142" s="1"/>
  <c r="G236" i="142"/>
  <c r="O236" i="142"/>
  <c r="K3" i="142"/>
  <c r="E10" i="142"/>
  <c r="G56" i="142"/>
  <c r="G60" i="142" s="1"/>
  <c r="E57" i="142"/>
  <c r="E61" i="142" s="1"/>
  <c r="J3" i="142"/>
  <c r="L100" i="142"/>
  <c r="L104" i="142" s="1"/>
  <c r="L109" i="142" s="1"/>
  <c r="P236" i="142"/>
  <c r="G27" i="142"/>
  <c r="G42" i="142" s="1"/>
  <c r="G43" i="142" s="1"/>
  <c r="D65" i="142"/>
  <c r="U4" i="142" s="1"/>
  <c r="K173" i="142"/>
  <c r="J202" i="142"/>
  <c r="J200" i="142" s="1"/>
  <c r="J219" i="142" s="1"/>
  <c r="I236" i="142"/>
  <c r="J58" i="142"/>
  <c r="J9" i="142"/>
  <c r="H42" i="142"/>
  <c r="F58" i="142"/>
  <c r="H235" i="142"/>
  <c r="H233" i="142" s="1"/>
  <c r="H9" i="142"/>
  <c r="D72" i="142"/>
  <c r="E71" i="142"/>
  <c r="J61" i="142"/>
  <c r="J59" i="142"/>
  <c r="D59" i="142" s="1"/>
  <c r="J10" i="142"/>
  <c r="P101" i="142"/>
  <c r="P6" i="142"/>
  <c r="K236" i="142"/>
  <c r="D228" i="142"/>
  <c r="W10" i="142" s="1"/>
  <c r="P42" i="142"/>
  <c r="N58" i="142"/>
  <c r="L235" i="142"/>
  <c r="F57" i="142"/>
  <c r="F6" i="142"/>
  <c r="I173" i="142"/>
  <c r="G200" i="142"/>
  <c r="G219" i="142" s="1"/>
  <c r="M61" i="142"/>
  <c r="J241" i="142"/>
  <c r="I58" i="142"/>
  <c r="I56" i="142" s="1"/>
  <c r="I60" i="142" s="1"/>
  <c r="E142" i="142"/>
  <c r="D121" i="142"/>
  <c r="Q127" i="142" s="1"/>
  <c r="E140" i="142"/>
  <c r="E119" i="142"/>
  <c r="E4" i="142" s="1"/>
  <c r="I174" i="142"/>
  <c r="N57" i="142"/>
  <c r="N6" i="142"/>
  <c r="I172" i="142"/>
  <c r="I3" i="142"/>
  <c r="K31" i="142"/>
  <c r="D31" i="142" s="1"/>
  <c r="T6" i="142" s="1"/>
  <c r="D36" i="142"/>
  <c r="P186" i="142"/>
  <c r="P204" i="142"/>
  <c r="P202" i="142" s="1"/>
  <c r="P200" i="142" s="1"/>
  <c r="P219" i="142" s="1"/>
  <c r="M28" i="142"/>
  <c r="M27" i="142" s="1"/>
  <c r="N10" i="142"/>
  <c r="J19" i="142"/>
  <c r="J4" i="142" s="1"/>
  <c r="D29" i="142"/>
  <c r="D48" i="142"/>
  <c r="G73" i="142"/>
  <c r="M100" i="142"/>
  <c r="M104" i="142" s="1"/>
  <c r="E86" i="142"/>
  <c r="D92" i="142"/>
  <c r="G100" i="142"/>
  <c r="G104" i="142" s="1"/>
  <c r="L158" i="142"/>
  <c r="D163" i="142"/>
  <c r="E159" i="142"/>
  <c r="D180" i="142"/>
  <c r="W3" i="142" s="1"/>
  <c r="D209" i="142"/>
  <c r="W6" i="142" s="1"/>
  <c r="D225" i="142"/>
  <c r="O56" i="142"/>
  <c r="O60" i="142" s="1"/>
  <c r="E28" i="142"/>
  <c r="D50" i="142"/>
  <c r="H56" i="142"/>
  <c r="H60" i="142" s="1"/>
  <c r="G65" i="142"/>
  <c r="O74" i="142"/>
  <c r="D74" i="142" s="1"/>
  <c r="U6" i="142" s="1"/>
  <c r="D79" i="142"/>
  <c r="J100" i="142"/>
  <c r="J104" i="142" s="1"/>
  <c r="O204" i="142"/>
  <c r="O186" i="142"/>
  <c r="D188" i="142"/>
  <c r="D186" i="142" s="1"/>
  <c r="W4" i="142" s="1"/>
  <c r="E202" i="142"/>
  <c r="D208" i="142"/>
  <c r="K10" i="142"/>
  <c r="K28" i="142"/>
  <c r="K27" i="142" s="1"/>
  <c r="D30" i="142"/>
  <c r="D49" i="142"/>
  <c r="O71" i="142"/>
  <c r="I100" i="142"/>
  <c r="I104" i="142" s="1"/>
  <c r="D93" i="142"/>
  <c r="N158" i="142"/>
  <c r="F174" i="142"/>
  <c r="D203" i="142"/>
  <c r="E201" i="142"/>
  <c r="H202" i="142"/>
  <c r="H200" i="142" s="1"/>
  <c r="H219" i="142" s="1"/>
  <c r="L61" i="142"/>
  <c r="L56" i="142"/>
  <c r="L60" i="142" s="1"/>
  <c r="H6" i="142"/>
  <c r="L28" i="142"/>
  <c r="L27" i="142" s="1"/>
  <c r="P56" i="142"/>
  <c r="P60" i="142" s="1"/>
  <c r="K65" i="142"/>
  <c r="K4" i="142" s="1"/>
  <c r="D95" i="142"/>
  <c r="D145" i="142"/>
  <c r="D164" i="142"/>
  <c r="F159" i="142"/>
  <c r="F173" i="142" s="1"/>
  <c r="D166" i="142"/>
  <c r="V10" i="142" s="1"/>
  <c r="L10" i="142"/>
  <c r="F27" i="142"/>
  <c r="N27" i="142"/>
  <c r="E44" i="142"/>
  <c r="L85" i="142"/>
  <c r="P73" i="142"/>
  <c r="P71" i="142" s="1"/>
  <c r="P84" i="142" s="1"/>
  <c r="E101" i="142"/>
  <c r="E103" i="142"/>
  <c r="D103" i="142" s="1"/>
  <c r="N174" i="142"/>
  <c r="D51" i="142"/>
  <c r="T10" i="142" s="1"/>
  <c r="D139" i="142"/>
  <c r="D141" i="142"/>
  <c r="D151" i="142"/>
  <c r="J149" i="142"/>
  <c r="J6" i="142" s="1"/>
  <c r="E174" i="142"/>
  <c r="M174" i="142"/>
  <c r="G221" i="142"/>
  <c r="G235" i="142" s="1"/>
  <c r="F235" i="142"/>
  <c r="N235" i="142"/>
  <c r="J172" i="142"/>
  <c r="K202" i="142"/>
  <c r="K200" i="142" s="1"/>
  <c r="K219" i="142" s="1"/>
  <c r="F236" i="142"/>
  <c r="N236" i="142"/>
  <c r="F140" i="142"/>
  <c r="F138" i="142" s="1"/>
  <c r="F157" i="142" s="1"/>
  <c r="F119" i="142"/>
  <c r="H138" i="142"/>
  <c r="H157" i="142" s="1"/>
  <c r="P138" i="142"/>
  <c r="P157" i="142" s="1"/>
  <c r="D147" i="142"/>
  <c r="D206" i="142"/>
  <c r="K235" i="142"/>
  <c r="D227" i="142"/>
  <c r="O8" i="137"/>
  <c r="O6" i="137"/>
  <c r="O5" i="137"/>
  <c r="O4" i="137"/>
  <c r="R28" i="137"/>
  <c r="R27" i="137"/>
  <c r="R26" i="137"/>
  <c r="R25" i="137"/>
  <c r="R24" i="137"/>
  <c r="R23" i="137"/>
  <c r="Q23" i="137"/>
  <c r="N9" i="142" l="1"/>
  <c r="M168" i="142"/>
  <c r="M169" i="142" s="1"/>
  <c r="N168" i="142"/>
  <c r="N169" i="142" s="1"/>
  <c r="M9" i="142"/>
  <c r="D149" i="142"/>
  <c r="V6" i="142" s="1"/>
  <c r="P100" i="142"/>
  <c r="P104" i="142" s="1"/>
  <c r="D142" i="142"/>
  <c r="L168" i="142"/>
  <c r="L169" i="142" s="1"/>
  <c r="L97" i="142"/>
  <c r="L98" i="142" s="1"/>
  <c r="P171" i="142"/>
  <c r="P177" i="142" s="1"/>
  <c r="H4" i="142"/>
  <c r="L173" i="142"/>
  <c r="L171" i="142" s="1"/>
  <c r="L177" i="142" s="1"/>
  <c r="L9" i="142"/>
  <c r="P9" i="142"/>
  <c r="P233" i="142"/>
  <c r="K158" i="142"/>
  <c r="K233" i="142"/>
  <c r="K238" i="142" s="1"/>
  <c r="I168" i="142"/>
  <c r="I169" i="142" s="1"/>
  <c r="J85" i="142"/>
  <c r="G4" i="142"/>
  <c r="O171" i="142"/>
  <c r="O177" i="142" s="1"/>
  <c r="N171" i="142"/>
  <c r="N178" i="142" s="1"/>
  <c r="L107" i="142"/>
  <c r="I85" i="142"/>
  <c r="F4" i="142"/>
  <c r="L233" i="142"/>
  <c r="L241" i="142" s="1"/>
  <c r="O158" i="142"/>
  <c r="O233" i="142"/>
  <c r="O238" i="142" s="1"/>
  <c r="F109" i="142"/>
  <c r="M171" i="142"/>
  <c r="M175" i="142" s="1"/>
  <c r="I233" i="142"/>
  <c r="I237" i="142" s="1"/>
  <c r="H105" i="142"/>
  <c r="K171" i="142"/>
  <c r="K178" i="142" s="1"/>
  <c r="M97" i="142"/>
  <c r="M98" i="142" s="1"/>
  <c r="M85" i="142"/>
  <c r="F220" i="142"/>
  <c r="G158" i="142"/>
  <c r="G233" i="142"/>
  <c r="G238" i="142" s="1"/>
  <c r="O4" i="142"/>
  <c r="N85" i="142"/>
  <c r="H171" i="142"/>
  <c r="H176" i="142" s="1"/>
  <c r="G171" i="142"/>
  <c r="G176" i="142" s="1"/>
  <c r="E233" i="142"/>
  <c r="E240" i="142" s="1"/>
  <c r="I171" i="142"/>
  <c r="I177" i="142" s="1"/>
  <c r="H111" i="142"/>
  <c r="N105" i="142"/>
  <c r="N107" i="142"/>
  <c r="F105" i="142"/>
  <c r="N111" i="142"/>
  <c r="F107" i="142"/>
  <c r="H109" i="142"/>
  <c r="P4" i="142"/>
  <c r="O43" i="142"/>
  <c r="G53" i="142"/>
  <c r="G54" i="142" s="1"/>
  <c r="O240" i="142"/>
  <c r="J240" i="142"/>
  <c r="J237" i="142"/>
  <c r="J239" i="142"/>
  <c r="F97" i="142"/>
  <c r="F98" i="142" s="1"/>
  <c r="N233" i="142"/>
  <c r="N237" i="142" s="1"/>
  <c r="D10" i="142"/>
  <c r="S10" i="142" s="1"/>
  <c r="F233" i="142"/>
  <c r="F237" i="142" s="1"/>
  <c r="I219" i="142"/>
  <c r="I5" i="142"/>
  <c r="I7" i="142" s="1"/>
  <c r="I11" i="142" s="1"/>
  <c r="I12" i="142" s="1"/>
  <c r="K111" i="142"/>
  <c r="K105" i="142"/>
  <c r="J56" i="142"/>
  <c r="J60" i="142" s="1"/>
  <c r="D236" i="142"/>
  <c r="J171" i="142"/>
  <c r="J175" i="142" s="1"/>
  <c r="N220" i="142"/>
  <c r="L111" i="142"/>
  <c r="H5" i="142"/>
  <c r="H7" i="142" s="1"/>
  <c r="H11" i="142" s="1"/>
  <c r="H12" i="142" s="1"/>
  <c r="F171" i="142"/>
  <c r="F175" i="142" s="1"/>
  <c r="K107" i="142"/>
  <c r="L105" i="142"/>
  <c r="M158" i="142"/>
  <c r="K109" i="142"/>
  <c r="D73" i="142"/>
  <c r="F241" i="142"/>
  <c r="K240" i="142"/>
  <c r="K241" i="142"/>
  <c r="K239" i="142"/>
  <c r="K237" i="142"/>
  <c r="N56" i="142"/>
  <c r="N60" i="142" s="1"/>
  <c r="N61" i="142"/>
  <c r="H158" i="142"/>
  <c r="H168" i="142"/>
  <c r="H169" i="142" s="1"/>
  <c r="P241" i="142"/>
  <c r="P239" i="142"/>
  <c r="P238" i="142"/>
  <c r="P240" i="142"/>
  <c r="P237" i="142"/>
  <c r="H85" i="142"/>
  <c r="H97" i="142"/>
  <c r="H98" i="142" s="1"/>
  <c r="O84" i="142"/>
  <c r="P175" i="142"/>
  <c r="D86" i="142"/>
  <c r="U9" i="142" s="1"/>
  <c r="E102" i="142"/>
  <c r="D102" i="142" s="1"/>
  <c r="D235" i="142"/>
  <c r="P43" i="142"/>
  <c r="P53" i="142"/>
  <c r="P54" i="142" s="1"/>
  <c r="D119" i="142"/>
  <c r="Q120" i="142"/>
  <c r="Q122" i="142"/>
  <c r="H241" i="142"/>
  <c r="H239" i="142"/>
  <c r="H240" i="142"/>
  <c r="H238" i="142"/>
  <c r="H237" i="142"/>
  <c r="D174" i="142"/>
  <c r="K176" i="142"/>
  <c r="D44" i="142"/>
  <c r="T9" i="142" s="1"/>
  <c r="E9" i="142"/>
  <c r="E58" i="142"/>
  <c r="M240" i="142"/>
  <c r="M238" i="142"/>
  <c r="M241" i="142"/>
  <c r="M237" i="142"/>
  <c r="M239" i="142"/>
  <c r="G71" i="142"/>
  <c r="D71" i="142" s="1"/>
  <c r="U5" i="142" s="1"/>
  <c r="U7" i="142" s="1"/>
  <c r="D159" i="142"/>
  <c r="V9" i="142" s="1"/>
  <c r="E173" i="142"/>
  <c r="M111" i="142"/>
  <c r="M107" i="142"/>
  <c r="M109" i="142"/>
  <c r="M105" i="142"/>
  <c r="E138" i="142"/>
  <c r="D140" i="142"/>
  <c r="G9" i="142"/>
  <c r="F9" i="142"/>
  <c r="L220" i="142"/>
  <c r="L230" i="142"/>
  <c r="L231" i="142" s="1"/>
  <c r="L5" i="142"/>
  <c r="L7" i="142" s="1"/>
  <c r="L42" i="142"/>
  <c r="K42" i="142"/>
  <c r="K5" i="142"/>
  <c r="D28" i="142"/>
  <c r="E27" i="142"/>
  <c r="D221" i="142"/>
  <c r="W9" i="142" s="1"/>
  <c r="K97" i="142"/>
  <c r="K98" i="142" s="1"/>
  <c r="K85" i="142"/>
  <c r="D3" i="142"/>
  <c r="S3" i="142" s="1"/>
  <c r="I53" i="142"/>
  <c r="I54" i="142" s="1"/>
  <c r="I43" i="142"/>
  <c r="J157" i="142"/>
  <c r="H43" i="142"/>
  <c r="H53" i="142"/>
  <c r="H54" i="142" s="1"/>
  <c r="H230" i="142"/>
  <c r="H231" i="142" s="1"/>
  <c r="H220" i="142"/>
  <c r="J105" i="142"/>
  <c r="J107" i="142"/>
  <c r="J111" i="142"/>
  <c r="J109" i="142"/>
  <c r="Q124" i="142"/>
  <c r="G230" i="142"/>
  <c r="G231" i="142" s="1"/>
  <c r="G220" i="142"/>
  <c r="F56" i="142"/>
  <c r="F60" i="142" s="1"/>
  <c r="F61" i="142"/>
  <c r="P111" i="142"/>
  <c r="P105" i="142"/>
  <c r="P109" i="142"/>
  <c r="P107" i="142"/>
  <c r="E84" i="142"/>
  <c r="F168" i="142"/>
  <c r="F169" i="142" s="1"/>
  <c r="F158" i="142"/>
  <c r="N42" i="142"/>
  <c r="N5" i="142"/>
  <c r="N7" i="142" s="1"/>
  <c r="P85" i="142"/>
  <c r="P97" i="142"/>
  <c r="P98" i="142" s="1"/>
  <c r="M220" i="142"/>
  <c r="M230" i="142"/>
  <c r="M231" i="142" s="1"/>
  <c r="G105" i="142"/>
  <c r="G111" i="142"/>
  <c r="G107" i="142"/>
  <c r="G109" i="142"/>
  <c r="M42" i="142"/>
  <c r="M5" i="142"/>
  <c r="M7" i="142" s="1"/>
  <c r="J5" i="142"/>
  <c r="J7" i="142" s="1"/>
  <c r="D172" i="142"/>
  <c r="F42" i="142"/>
  <c r="F5" i="142"/>
  <c r="F7" i="142" s="1"/>
  <c r="O202" i="142"/>
  <c r="O200" i="142" s="1"/>
  <c r="O219" i="142" s="1"/>
  <c r="D204" i="142"/>
  <c r="P168" i="142"/>
  <c r="P169" i="142" s="1"/>
  <c r="P158" i="142"/>
  <c r="K230" i="142"/>
  <c r="K231" i="142" s="1"/>
  <c r="K220" i="142"/>
  <c r="J220" i="142"/>
  <c r="J230" i="142"/>
  <c r="J231" i="142" s="1"/>
  <c r="E200" i="142"/>
  <c r="D201" i="142"/>
  <c r="I107" i="142"/>
  <c r="I105" i="142"/>
  <c r="I109" i="142"/>
  <c r="I111" i="142"/>
  <c r="O6" i="142"/>
  <c r="O101" i="142"/>
  <c r="O100" i="142" s="1"/>
  <c r="O104" i="142" s="1"/>
  <c r="P230" i="142"/>
  <c r="P231" i="142" s="1"/>
  <c r="P220" i="142"/>
  <c r="K57" i="142"/>
  <c r="K6" i="142"/>
  <c r="J53" i="142"/>
  <c r="J54" i="142" s="1"/>
  <c r="J43" i="142"/>
  <c r="P5" i="142"/>
  <c r="P7" i="142" s="1"/>
  <c r="M29" i="137"/>
  <c r="L27" i="137"/>
  <c r="L26" i="137"/>
  <c r="I26" i="137"/>
  <c r="K26" i="137" s="1"/>
  <c r="J25" i="137"/>
  <c r="J27" i="137"/>
  <c r="I28" i="137"/>
  <c r="J28" i="137" s="1"/>
  <c r="I27" i="137"/>
  <c r="K27" i="137" s="1"/>
  <c r="I25" i="137"/>
  <c r="K25" i="137" s="1"/>
  <c r="I24" i="137"/>
  <c r="L24" i="137" s="1"/>
  <c r="I23" i="137"/>
  <c r="L23" i="137" s="1"/>
  <c r="P29" i="137"/>
  <c r="O28" i="137"/>
  <c r="O27" i="137"/>
  <c r="O26" i="137"/>
  <c r="O25" i="137"/>
  <c r="O24" i="137"/>
  <c r="O23" i="137"/>
  <c r="K177" i="142" l="1"/>
  <c r="P178" i="142"/>
  <c r="P176" i="142"/>
  <c r="H175" i="142"/>
  <c r="K175" i="142"/>
  <c r="E238" i="142"/>
  <c r="L239" i="142"/>
  <c r="L240" i="142"/>
  <c r="L238" i="142"/>
  <c r="L237" i="142"/>
  <c r="I239" i="142"/>
  <c r="N238" i="142"/>
  <c r="I238" i="142"/>
  <c r="G240" i="142"/>
  <c r="I240" i="142"/>
  <c r="I241" i="142"/>
  <c r="G239" i="142"/>
  <c r="N175" i="142"/>
  <c r="N240" i="142"/>
  <c r="N177" i="142"/>
  <c r="N241" i="142"/>
  <c r="I8" i="142"/>
  <c r="M177" i="142"/>
  <c r="O176" i="142"/>
  <c r="O178" i="142"/>
  <c r="J176" i="142"/>
  <c r="L176" i="142"/>
  <c r="L175" i="142"/>
  <c r="L178" i="142"/>
  <c r="N176" i="142"/>
  <c r="O175" i="142"/>
  <c r="M178" i="142"/>
  <c r="I176" i="142"/>
  <c r="I178" i="142"/>
  <c r="D233" i="142"/>
  <c r="J178" i="142"/>
  <c r="M176" i="142"/>
  <c r="G178" i="142"/>
  <c r="O241" i="142"/>
  <c r="O237" i="142"/>
  <c r="O239" i="142"/>
  <c r="I175" i="142"/>
  <c r="F239" i="142"/>
  <c r="F240" i="142"/>
  <c r="N239" i="142"/>
  <c r="H177" i="142"/>
  <c r="H178" i="142"/>
  <c r="E237" i="142"/>
  <c r="E239" i="142"/>
  <c r="G241" i="142"/>
  <c r="F238" i="142"/>
  <c r="E241" i="142"/>
  <c r="J177" i="142"/>
  <c r="G237" i="142"/>
  <c r="G175" i="142"/>
  <c r="G177" i="142"/>
  <c r="F177" i="142"/>
  <c r="D6" i="142"/>
  <c r="S6" i="142" s="1"/>
  <c r="H8" i="142"/>
  <c r="F176" i="142"/>
  <c r="F178" i="142"/>
  <c r="E100" i="142"/>
  <c r="E104" i="142" s="1"/>
  <c r="K7" i="142"/>
  <c r="K11" i="142" s="1"/>
  <c r="K12" i="142" s="1"/>
  <c r="D202" i="142"/>
  <c r="I230" i="142"/>
  <c r="I231" i="142" s="1"/>
  <c r="I220" i="142"/>
  <c r="M43" i="142"/>
  <c r="M53" i="142"/>
  <c r="M54" i="142" s="1"/>
  <c r="J11" i="142"/>
  <c r="J12" i="142" s="1"/>
  <c r="J8" i="142"/>
  <c r="E85" i="142"/>
  <c r="E97" i="142"/>
  <c r="G84" i="142"/>
  <c r="D84" i="142" s="1"/>
  <c r="D85" i="142" s="1"/>
  <c r="G5" i="142"/>
  <c r="G7" i="142" s="1"/>
  <c r="M11" i="142"/>
  <c r="M12" i="142" s="1"/>
  <c r="M8" i="142"/>
  <c r="D27" i="142"/>
  <c r="E42" i="142"/>
  <c r="E5" i="142"/>
  <c r="E7" i="142" s="1"/>
  <c r="E157" i="142"/>
  <c r="D138" i="142"/>
  <c r="V5" i="142" s="1"/>
  <c r="V7" i="142" s="1"/>
  <c r="D200" i="142"/>
  <c r="W5" i="142" s="1"/>
  <c r="W7" i="142" s="1"/>
  <c r="E219" i="142"/>
  <c r="O230" i="142"/>
  <c r="O231" i="142" s="1"/>
  <c r="O220" i="142"/>
  <c r="N53" i="142"/>
  <c r="N54" i="142" s="1"/>
  <c r="N43" i="142"/>
  <c r="K43" i="142"/>
  <c r="K53" i="142"/>
  <c r="K54" i="142" s="1"/>
  <c r="O5" i="142"/>
  <c r="O7" i="142" s="1"/>
  <c r="P11" i="142"/>
  <c r="P12" i="142" s="1"/>
  <c r="P8" i="142"/>
  <c r="K56" i="142"/>
  <c r="K60" i="142" s="1"/>
  <c r="K61" i="142"/>
  <c r="Q61" i="142" s="1"/>
  <c r="F8" i="142"/>
  <c r="F11" i="142"/>
  <c r="F12" i="142" s="1"/>
  <c r="L43" i="142"/>
  <c r="L53" i="142"/>
  <c r="L54" i="142" s="1"/>
  <c r="V4" i="142"/>
  <c r="D4" i="142"/>
  <c r="S4" i="142" s="1"/>
  <c r="O85" i="142"/>
  <c r="O97" i="142"/>
  <c r="O98" i="142" s="1"/>
  <c r="F53" i="142"/>
  <c r="F54" i="142" s="1"/>
  <c r="F43" i="142"/>
  <c r="L11" i="142"/>
  <c r="L12" i="142" s="1"/>
  <c r="L8" i="142"/>
  <c r="D173" i="142"/>
  <c r="E171" i="142"/>
  <c r="D58" i="142"/>
  <c r="E56" i="142"/>
  <c r="J158" i="142"/>
  <c r="J168" i="142"/>
  <c r="J169" i="142" s="1"/>
  <c r="N11" i="142"/>
  <c r="N12" i="142" s="1"/>
  <c r="N8" i="142"/>
  <c r="O105" i="142"/>
  <c r="O111" i="142"/>
  <c r="O107" i="142"/>
  <c r="O109" i="142"/>
  <c r="U8" i="142"/>
  <c r="U11" i="142"/>
  <c r="U12" i="142" s="1"/>
  <c r="D101" i="142"/>
  <c r="D9" i="142"/>
  <c r="S9" i="142" s="1"/>
  <c r="D57" i="142"/>
  <c r="D61" i="142" s="1"/>
  <c r="J24" i="137"/>
  <c r="L25" i="137"/>
  <c r="L28" i="137"/>
  <c r="K24" i="137"/>
  <c r="K28" i="137"/>
  <c r="J23" i="137"/>
  <c r="K23" i="137"/>
  <c r="J26" i="137"/>
  <c r="O29" i="137"/>
  <c r="D238" i="142" l="1"/>
  <c r="D240" i="142"/>
  <c r="D239" i="142"/>
  <c r="D237" i="142"/>
  <c r="D241" i="142"/>
  <c r="K8" i="142"/>
  <c r="D100" i="142"/>
  <c r="E220" i="142"/>
  <c r="E230" i="142"/>
  <c r="D219" i="142"/>
  <c r="D220" i="142" s="1"/>
  <c r="D5" i="142"/>
  <c r="S5" i="142" s="1"/>
  <c r="S7" i="142" s="1"/>
  <c r="T5" i="142"/>
  <c r="T7" i="142" s="1"/>
  <c r="V8" i="142"/>
  <c r="V11" i="142"/>
  <c r="V12" i="142" s="1"/>
  <c r="G8" i="142"/>
  <c r="G11" i="142"/>
  <c r="G12" i="142" s="1"/>
  <c r="O11" i="142"/>
  <c r="O12" i="142" s="1"/>
  <c r="O8" i="142"/>
  <c r="E168" i="142"/>
  <c r="D157" i="142"/>
  <c r="D158" i="142" s="1"/>
  <c r="E158" i="142"/>
  <c r="G85" i="142"/>
  <c r="G97" i="142"/>
  <c r="G98" i="142" s="1"/>
  <c r="E111" i="142"/>
  <c r="D104" i="142"/>
  <c r="E109" i="142"/>
  <c r="E107" i="142"/>
  <c r="E105" i="142"/>
  <c r="W11" i="142"/>
  <c r="W12" i="142" s="1"/>
  <c r="W8" i="142"/>
  <c r="D56" i="142"/>
  <c r="D60" i="142" s="1"/>
  <c r="E60" i="142"/>
  <c r="Q60" i="142" s="1"/>
  <c r="D171" i="142"/>
  <c r="E175" i="142"/>
  <c r="D175" i="142" s="1"/>
  <c r="E177" i="142"/>
  <c r="D177" i="142" s="1"/>
  <c r="E176" i="142"/>
  <c r="D176" i="142" s="1"/>
  <c r="E178" i="142"/>
  <c r="D178" i="142" s="1"/>
  <c r="D7" i="142"/>
  <c r="E11" i="142"/>
  <c r="E8" i="142"/>
  <c r="E43" i="142"/>
  <c r="E53" i="142"/>
  <c r="D42" i="142"/>
  <c r="D43" i="142" s="1"/>
  <c r="E98" i="142"/>
  <c r="S29" i="137"/>
  <c r="U28" i="137"/>
  <c r="D28" i="137"/>
  <c r="N28" i="137" s="1"/>
  <c r="C28" i="137"/>
  <c r="U27" i="137"/>
  <c r="D27" i="137"/>
  <c r="N27" i="137" s="1"/>
  <c r="C27" i="137"/>
  <c r="U26" i="137"/>
  <c r="D26" i="137"/>
  <c r="N26" i="137" s="1"/>
  <c r="C26" i="137"/>
  <c r="U25" i="137"/>
  <c r="C25" i="137"/>
  <c r="D25" i="137" s="1"/>
  <c r="N25" i="137" s="1"/>
  <c r="U24" i="137"/>
  <c r="D24" i="137"/>
  <c r="N24" i="137" s="1"/>
  <c r="C24" i="137"/>
  <c r="U23" i="137"/>
  <c r="D23" i="137"/>
  <c r="N23" i="137" s="1"/>
  <c r="C23" i="137"/>
  <c r="D8" i="142" l="1"/>
  <c r="D97" i="142"/>
  <c r="D98" i="142" s="1"/>
  <c r="D11" i="142"/>
  <c r="D12" i="142" s="1"/>
  <c r="E12" i="142"/>
  <c r="D168" i="142"/>
  <c r="D169" i="142" s="1"/>
  <c r="E169" i="142"/>
  <c r="S11" i="142"/>
  <c r="S12" i="142" s="1"/>
  <c r="S8" i="142"/>
  <c r="T11" i="142"/>
  <c r="T12" i="142" s="1"/>
  <c r="T8" i="142"/>
  <c r="D107" i="142"/>
  <c r="D111" i="142"/>
  <c r="D105" i="142"/>
  <c r="D109" i="142"/>
  <c r="D230" i="142"/>
  <c r="D231" i="142" s="1"/>
  <c r="E231" i="142"/>
  <c r="E54" i="142"/>
  <c r="D53" i="142"/>
  <c r="D54" i="142" s="1"/>
  <c r="N29" i="137"/>
  <c r="N30" i="137" s="1"/>
  <c r="Q27" i="137"/>
  <c r="Q25" i="137"/>
  <c r="U29" i="137"/>
  <c r="Q26" i="137"/>
  <c r="R29" i="137"/>
  <c r="Q24" i="137"/>
  <c r="Q28" i="137"/>
  <c r="T24" i="137"/>
  <c r="T26" i="137"/>
  <c r="T28" i="137"/>
  <c r="T23" i="137"/>
  <c r="T25" i="137"/>
  <c r="T27" i="137"/>
  <c r="R6" i="120"/>
  <c r="M44" i="119"/>
  <c r="M13" i="119"/>
  <c r="Q29" i="137" l="1"/>
  <c r="Q30" i="137" s="1"/>
  <c r="T29" i="137"/>
  <c r="T30" i="137" s="1"/>
  <c r="BF15" i="135"/>
  <c r="BE15" i="135"/>
  <c r="BD15" i="135"/>
  <c r="BC15" i="135"/>
  <c r="U13" i="135"/>
  <c r="BF10" i="135"/>
  <c r="BF9" i="135"/>
  <c r="BF8" i="135"/>
  <c r="BE10" i="135"/>
  <c r="BE9" i="135"/>
  <c r="BE8" i="135"/>
  <c r="BD9" i="135"/>
  <c r="BD8" i="135"/>
  <c r="BC9" i="135"/>
  <c r="BC8" i="135"/>
  <c r="BF12" i="135"/>
  <c r="BE12" i="135"/>
  <c r="BB12" i="135"/>
  <c r="BA12" i="135"/>
  <c r="AR12" i="135"/>
  <c r="AX12" i="135"/>
  <c r="AV12" i="135"/>
  <c r="AW12" i="135"/>
  <c r="AC3" i="135"/>
  <c r="AU12" i="135"/>
  <c r="AQ12" i="135"/>
  <c r="AE1" i="135"/>
  <c r="AA1" i="135"/>
  <c r="AI1" i="135"/>
  <c r="C8" i="140"/>
  <c r="D8" i="140"/>
  <c r="B3" i="140"/>
  <c r="C3" i="140" s="1"/>
  <c r="B6" i="140"/>
  <c r="D6" i="140" s="1"/>
  <c r="B7" i="140"/>
  <c r="U12" i="135"/>
  <c r="U14" i="135" s="1"/>
  <c r="U15" i="135" s="1"/>
  <c r="U10" i="135"/>
  <c r="U9" i="135"/>
  <c r="U8" i="135"/>
  <c r="AB3" i="135"/>
  <c r="Y15" i="141"/>
  <c r="W15" i="141"/>
  <c r="V15" i="141"/>
  <c r="U15" i="141"/>
  <c r="T15" i="141"/>
  <c r="S15" i="141"/>
  <c r="R15" i="141"/>
  <c r="Q15" i="141"/>
  <c r="P15" i="141"/>
  <c r="L15" i="141"/>
  <c r="O15" i="141" s="1"/>
  <c r="X15" i="141" l="1"/>
  <c r="AA15" i="141" s="1"/>
  <c r="G39" i="105"/>
  <c r="AD3" i="135" l="1"/>
  <c r="X3" i="135"/>
  <c r="AL3" i="135" l="1"/>
  <c r="AH3" i="135"/>
  <c r="AM3" i="135"/>
  <c r="AI3" i="135"/>
  <c r="AE3" i="135"/>
  <c r="Y3" i="135"/>
  <c r="L66" i="141"/>
  <c r="D7" i="141"/>
  <c r="AM8" i="135"/>
  <c r="AL8" i="135"/>
  <c r="AM9" i="135"/>
  <c r="AL9" i="135"/>
  <c r="AM10" i="135" l="1"/>
  <c r="AL10" i="135"/>
  <c r="Z7" i="141"/>
  <c r="K7" i="141"/>
  <c r="J7" i="141"/>
  <c r="I7" i="141"/>
  <c r="H7" i="141"/>
  <c r="G7" i="141"/>
  <c r="F7" i="141"/>
  <c r="E7" i="141"/>
  <c r="AL12" i="135" l="1"/>
  <c r="S146" i="140"/>
  <c r="O133" i="140"/>
  <c r="P142" i="140"/>
  <c r="O142" i="140"/>
  <c r="N142" i="140"/>
  <c r="O138" i="140"/>
  <c r="O137" i="140"/>
  <c r="O136" i="140"/>
  <c r="N139" i="140" l="1"/>
  <c r="Q142" i="140" l="1"/>
  <c r="N143" i="140" s="1"/>
  <c r="S143" i="140" s="1"/>
  <c r="N135" i="140"/>
  <c r="O139" i="140"/>
  <c r="B1" i="140"/>
  <c r="AK8" i="135" l="1"/>
  <c r="AJ8" i="135"/>
  <c r="AK9" i="135"/>
  <c r="AJ9" i="135"/>
  <c r="Y65" i="141"/>
  <c r="V65" i="141"/>
  <c r="X65" i="141" s="1"/>
  <c r="L65" i="141"/>
  <c r="O65" i="141" s="1"/>
  <c r="Y64" i="141"/>
  <c r="V64" i="141"/>
  <c r="X64" i="141" s="1"/>
  <c r="L64" i="141"/>
  <c r="O64" i="141" s="1"/>
  <c r="Y63" i="141"/>
  <c r="V63" i="141"/>
  <c r="X63" i="141" s="1"/>
  <c r="L63" i="141"/>
  <c r="O63" i="141" s="1"/>
  <c r="Y62" i="141"/>
  <c r="V62" i="141"/>
  <c r="R62" i="141"/>
  <c r="L62" i="141"/>
  <c r="O62" i="141" s="1"/>
  <c r="Y61" i="141"/>
  <c r="W61" i="141"/>
  <c r="V61" i="141"/>
  <c r="U61" i="141"/>
  <c r="T61" i="141"/>
  <c r="S61" i="141"/>
  <c r="R61" i="141"/>
  <c r="Q61" i="141"/>
  <c r="P61" i="141"/>
  <c r="L61" i="141"/>
  <c r="O61" i="141" s="1"/>
  <c r="Y60" i="141"/>
  <c r="W60" i="141"/>
  <c r="V60" i="141"/>
  <c r="U60" i="141"/>
  <c r="T60" i="141"/>
  <c r="S60" i="141"/>
  <c r="R60" i="141"/>
  <c r="Q60" i="141"/>
  <c r="P60" i="141"/>
  <c r="L60" i="141"/>
  <c r="O60" i="141" s="1"/>
  <c r="Y59" i="141"/>
  <c r="W59" i="141"/>
  <c r="V59" i="141"/>
  <c r="U59" i="141"/>
  <c r="T59" i="141"/>
  <c r="S59" i="141"/>
  <c r="R59" i="141"/>
  <c r="Q59" i="141"/>
  <c r="P59" i="141"/>
  <c r="L59" i="141"/>
  <c r="O59" i="141" s="1"/>
  <c r="Y58" i="141"/>
  <c r="W58" i="141"/>
  <c r="V58" i="141"/>
  <c r="U58" i="141"/>
  <c r="T58" i="141"/>
  <c r="S58" i="141"/>
  <c r="R58" i="141"/>
  <c r="Q58" i="141"/>
  <c r="P58" i="141"/>
  <c r="L58" i="141"/>
  <c r="O58" i="141" s="1"/>
  <c r="Y57" i="141"/>
  <c r="W57" i="141"/>
  <c r="V57" i="141"/>
  <c r="U57" i="141"/>
  <c r="T57" i="141"/>
  <c r="S57" i="141"/>
  <c r="R57" i="141"/>
  <c r="Q57" i="141"/>
  <c r="P57" i="141"/>
  <c r="L57" i="141"/>
  <c r="O57" i="141" s="1"/>
  <c r="Y56" i="141"/>
  <c r="W56" i="141"/>
  <c r="V56" i="141"/>
  <c r="U56" i="141"/>
  <c r="T56" i="141"/>
  <c r="S56" i="141"/>
  <c r="R56" i="141"/>
  <c r="Q56" i="141"/>
  <c r="P56" i="141"/>
  <c r="L56" i="141"/>
  <c r="O56" i="141" s="1"/>
  <c r="Y55" i="141"/>
  <c r="W55" i="141"/>
  <c r="V55" i="141"/>
  <c r="U55" i="141"/>
  <c r="T55" i="141"/>
  <c r="S55" i="141"/>
  <c r="R55" i="141"/>
  <c r="Q55" i="141"/>
  <c r="P55" i="141"/>
  <c r="L55" i="141"/>
  <c r="O55" i="141" s="1"/>
  <c r="Y54" i="141"/>
  <c r="W54" i="141"/>
  <c r="V54" i="141"/>
  <c r="U54" i="141"/>
  <c r="T54" i="141"/>
  <c r="S54" i="141"/>
  <c r="R54" i="141"/>
  <c r="Q54" i="141"/>
  <c r="P54" i="141"/>
  <c r="L54" i="141"/>
  <c r="O54" i="141" s="1"/>
  <c r="Y53" i="141"/>
  <c r="W53" i="141"/>
  <c r="V53" i="141"/>
  <c r="U53" i="141"/>
  <c r="T53" i="141"/>
  <c r="S53" i="141"/>
  <c r="R53" i="141"/>
  <c r="Q53" i="141"/>
  <c r="P53" i="141"/>
  <c r="L53" i="141"/>
  <c r="O53" i="141" s="1"/>
  <c r="Y52" i="141"/>
  <c r="W52" i="141"/>
  <c r="V52" i="141"/>
  <c r="U52" i="141"/>
  <c r="T52" i="141"/>
  <c r="S52" i="141"/>
  <c r="R52" i="141"/>
  <c r="Q52" i="141"/>
  <c r="P52" i="141"/>
  <c r="L52" i="141"/>
  <c r="O52" i="141" s="1"/>
  <c r="Y51" i="141"/>
  <c r="W51" i="141"/>
  <c r="V51" i="141"/>
  <c r="U51" i="141"/>
  <c r="T51" i="141"/>
  <c r="S51" i="141"/>
  <c r="R51" i="141"/>
  <c r="Q51" i="141"/>
  <c r="P51" i="141"/>
  <c r="L51" i="141"/>
  <c r="O51" i="141" s="1"/>
  <c r="Y50" i="141"/>
  <c r="W50" i="141"/>
  <c r="V50" i="141"/>
  <c r="U50" i="141"/>
  <c r="T50" i="141"/>
  <c r="S50" i="141"/>
  <c r="R50" i="141"/>
  <c r="Q50" i="141"/>
  <c r="P50" i="141"/>
  <c r="L50" i="141"/>
  <c r="O50" i="141" s="1"/>
  <c r="Y49" i="141"/>
  <c r="W49" i="141"/>
  <c r="V49" i="141"/>
  <c r="U49" i="141"/>
  <c r="T49" i="141"/>
  <c r="S49" i="141"/>
  <c r="R49" i="141"/>
  <c r="Q49" i="141"/>
  <c r="P49" i="141"/>
  <c r="L49" i="141"/>
  <c r="O49" i="141" s="1"/>
  <c r="Y48" i="141"/>
  <c r="W48" i="141"/>
  <c r="V48" i="141"/>
  <c r="U48" i="141"/>
  <c r="T48" i="141"/>
  <c r="S48" i="141"/>
  <c r="R48" i="141"/>
  <c r="Q48" i="141"/>
  <c r="P48" i="141"/>
  <c r="L48" i="141"/>
  <c r="O48" i="141" s="1"/>
  <c r="Y47" i="141"/>
  <c r="W47" i="141"/>
  <c r="V47" i="141"/>
  <c r="U47" i="141"/>
  <c r="T47" i="141"/>
  <c r="S47" i="141"/>
  <c r="R47" i="141"/>
  <c r="Q47" i="141"/>
  <c r="P47" i="141"/>
  <c r="L47" i="141"/>
  <c r="O47" i="141" s="1"/>
  <c r="Y46" i="141"/>
  <c r="W46" i="141"/>
  <c r="V46" i="141"/>
  <c r="U46" i="141"/>
  <c r="T46" i="141"/>
  <c r="S46" i="141"/>
  <c r="R46" i="141"/>
  <c r="Q46" i="141"/>
  <c r="P46" i="141"/>
  <c r="L46" i="141"/>
  <c r="O46" i="141" s="1"/>
  <c r="Y45" i="141"/>
  <c r="W45" i="141"/>
  <c r="V45" i="141"/>
  <c r="U45" i="141"/>
  <c r="T45" i="141"/>
  <c r="S45" i="141"/>
  <c r="R45" i="141"/>
  <c r="Q45" i="141"/>
  <c r="P45" i="141"/>
  <c r="L45" i="141"/>
  <c r="O45" i="141" s="1"/>
  <c r="Y44" i="141"/>
  <c r="W44" i="141"/>
  <c r="V44" i="141"/>
  <c r="U44" i="141"/>
  <c r="T44" i="141"/>
  <c r="S44" i="141"/>
  <c r="R44" i="141"/>
  <c r="Q44" i="141"/>
  <c r="P44" i="141"/>
  <c r="L44" i="141"/>
  <c r="O44" i="141" s="1"/>
  <c r="Y43" i="141"/>
  <c r="W43" i="141"/>
  <c r="V43" i="141"/>
  <c r="U43" i="141"/>
  <c r="T43" i="141"/>
  <c r="S43" i="141"/>
  <c r="R43" i="141"/>
  <c r="Q43" i="141"/>
  <c r="P43" i="141"/>
  <c r="L43" i="141"/>
  <c r="O43" i="141" s="1"/>
  <c r="Y42" i="141"/>
  <c r="W42" i="141"/>
  <c r="V42" i="141"/>
  <c r="U42" i="141"/>
  <c r="T42" i="141"/>
  <c r="S42" i="141"/>
  <c r="R42" i="141"/>
  <c r="Q42" i="141"/>
  <c r="P42" i="141"/>
  <c r="L42" i="141"/>
  <c r="O42" i="141" s="1"/>
  <c r="Y41" i="141"/>
  <c r="W41" i="141"/>
  <c r="V41" i="141"/>
  <c r="U41" i="141"/>
  <c r="T41" i="141"/>
  <c r="S41" i="141"/>
  <c r="R41" i="141"/>
  <c r="Q41" i="141"/>
  <c r="P41" i="141"/>
  <c r="L41" i="141"/>
  <c r="O41" i="141" s="1"/>
  <c r="Y40" i="141"/>
  <c r="W40" i="141"/>
  <c r="V40" i="141"/>
  <c r="U40" i="141"/>
  <c r="T40" i="141"/>
  <c r="S40" i="141"/>
  <c r="R40" i="141"/>
  <c r="Q40" i="141"/>
  <c r="P40" i="141"/>
  <c r="L40" i="141"/>
  <c r="O40" i="141" s="1"/>
  <c r="Y39" i="141"/>
  <c r="W39" i="141"/>
  <c r="V39" i="141"/>
  <c r="U39" i="141"/>
  <c r="T39" i="141"/>
  <c r="S39" i="141"/>
  <c r="R39" i="141"/>
  <c r="Q39" i="141"/>
  <c r="P39" i="141"/>
  <c r="L39" i="141"/>
  <c r="O39" i="141" s="1"/>
  <c r="Y38" i="141"/>
  <c r="W38" i="141"/>
  <c r="V38" i="141"/>
  <c r="U38" i="141"/>
  <c r="T38" i="141"/>
  <c r="S38" i="141"/>
  <c r="R38" i="141"/>
  <c r="Q38" i="141"/>
  <c r="P38" i="141"/>
  <c r="L38" i="141"/>
  <c r="O38" i="141" s="1"/>
  <c r="Y37" i="141"/>
  <c r="W37" i="141"/>
  <c r="V37" i="141"/>
  <c r="U37" i="141"/>
  <c r="T37" i="141"/>
  <c r="S37" i="141"/>
  <c r="R37" i="141"/>
  <c r="Q37" i="141"/>
  <c r="P37" i="141"/>
  <c r="L37" i="141"/>
  <c r="O37" i="141" s="1"/>
  <c r="Y36" i="141"/>
  <c r="W36" i="141"/>
  <c r="V36" i="141"/>
  <c r="U36" i="141"/>
  <c r="T36" i="141"/>
  <c r="S36" i="141"/>
  <c r="R36" i="141"/>
  <c r="Q36" i="141"/>
  <c r="P36" i="141"/>
  <c r="L36" i="141"/>
  <c r="O36" i="141" s="1"/>
  <c r="Y35" i="141"/>
  <c r="W35" i="141"/>
  <c r="V35" i="141"/>
  <c r="U35" i="141"/>
  <c r="T35" i="141"/>
  <c r="S35" i="141"/>
  <c r="R35" i="141"/>
  <c r="Q35" i="141"/>
  <c r="P35" i="141"/>
  <c r="L35" i="141"/>
  <c r="O35" i="141" s="1"/>
  <c r="Y34" i="141"/>
  <c r="W34" i="141"/>
  <c r="V34" i="141"/>
  <c r="U34" i="141"/>
  <c r="T34" i="141"/>
  <c r="S34" i="141"/>
  <c r="R34" i="141"/>
  <c r="Q34" i="141"/>
  <c r="P34" i="141"/>
  <c r="L34" i="141"/>
  <c r="O34" i="141" s="1"/>
  <c r="Y33" i="141"/>
  <c r="W33" i="141"/>
  <c r="V33" i="141"/>
  <c r="U33" i="141"/>
  <c r="T33" i="141"/>
  <c r="S33" i="141"/>
  <c r="R33" i="141"/>
  <c r="Q33" i="141"/>
  <c r="P33" i="141"/>
  <c r="L33" i="141"/>
  <c r="O33" i="141" s="1"/>
  <c r="Y32" i="141"/>
  <c r="W32" i="141"/>
  <c r="V32" i="141"/>
  <c r="U32" i="141"/>
  <c r="T32" i="141"/>
  <c r="S32" i="141"/>
  <c r="R32" i="141"/>
  <c r="Q32" i="141"/>
  <c r="P32" i="141"/>
  <c r="L32" i="141"/>
  <c r="O32" i="141" s="1"/>
  <c r="Y31" i="141"/>
  <c r="W31" i="141"/>
  <c r="V31" i="141"/>
  <c r="U31" i="141"/>
  <c r="T31" i="141"/>
  <c r="S31" i="141"/>
  <c r="R31" i="141"/>
  <c r="Q31" i="141"/>
  <c r="P31" i="141"/>
  <c r="L31" i="141"/>
  <c r="O31" i="141" s="1"/>
  <c r="Y30" i="141"/>
  <c r="W30" i="141"/>
  <c r="V30" i="141"/>
  <c r="U30" i="141"/>
  <c r="T30" i="141"/>
  <c r="S30" i="141"/>
  <c r="R30" i="141"/>
  <c r="Q30" i="141"/>
  <c r="P30" i="141"/>
  <c r="L30" i="141"/>
  <c r="O30" i="141" s="1"/>
  <c r="Y29" i="141"/>
  <c r="W29" i="141"/>
  <c r="V29" i="141"/>
  <c r="U29" i="141"/>
  <c r="T29" i="141"/>
  <c r="S29" i="141"/>
  <c r="R29" i="141"/>
  <c r="Q29" i="141"/>
  <c r="P29" i="141"/>
  <c r="L29" i="141"/>
  <c r="O29" i="141" s="1"/>
  <c r="Y28" i="141"/>
  <c r="W28" i="141"/>
  <c r="V28" i="141"/>
  <c r="U28" i="141"/>
  <c r="T28" i="141"/>
  <c r="S28" i="141"/>
  <c r="R28" i="141"/>
  <c r="Q28" i="141"/>
  <c r="P28" i="141"/>
  <c r="L28" i="141"/>
  <c r="O28" i="141" s="1"/>
  <c r="Y27" i="141"/>
  <c r="W27" i="141"/>
  <c r="V27" i="141"/>
  <c r="U27" i="141"/>
  <c r="T27" i="141"/>
  <c r="S27" i="141"/>
  <c r="R27" i="141"/>
  <c r="Q27" i="141"/>
  <c r="P27" i="141"/>
  <c r="L27" i="141"/>
  <c r="O27" i="141" s="1"/>
  <c r="Y26" i="141"/>
  <c r="W26" i="141"/>
  <c r="V26" i="141"/>
  <c r="U26" i="141"/>
  <c r="T26" i="141"/>
  <c r="S26" i="141"/>
  <c r="R26" i="141"/>
  <c r="Q26" i="141"/>
  <c r="P26" i="141"/>
  <c r="L26" i="141"/>
  <c r="O26" i="141" s="1"/>
  <c r="Y25" i="141"/>
  <c r="W25" i="141"/>
  <c r="V25" i="141"/>
  <c r="U25" i="141"/>
  <c r="T25" i="141"/>
  <c r="S25" i="141"/>
  <c r="R25" i="141"/>
  <c r="Q25" i="141"/>
  <c r="P25" i="141"/>
  <c r="L25" i="141"/>
  <c r="O25" i="141" s="1"/>
  <c r="Y24" i="141"/>
  <c r="W24" i="141"/>
  <c r="V24" i="141"/>
  <c r="U24" i="141"/>
  <c r="T24" i="141"/>
  <c r="S24" i="141"/>
  <c r="R24" i="141"/>
  <c r="Q24" i="141"/>
  <c r="P24" i="141"/>
  <c r="L24" i="141"/>
  <c r="O24" i="141" s="1"/>
  <c r="Y23" i="141"/>
  <c r="W23" i="141"/>
  <c r="V23" i="141"/>
  <c r="U23" i="141"/>
  <c r="T23" i="141"/>
  <c r="S23" i="141"/>
  <c r="R23" i="141"/>
  <c r="Q23" i="141"/>
  <c r="P23" i="141"/>
  <c r="L23" i="141"/>
  <c r="O23" i="141" s="1"/>
  <c r="Y22" i="141"/>
  <c r="W22" i="141"/>
  <c r="V22" i="141"/>
  <c r="U22" i="141"/>
  <c r="T22" i="141"/>
  <c r="S22" i="141"/>
  <c r="R22" i="141"/>
  <c r="Q22" i="141"/>
  <c r="P22" i="141"/>
  <c r="L22" i="141"/>
  <c r="O22" i="141" s="1"/>
  <c r="Y21" i="141"/>
  <c r="W21" i="141"/>
  <c r="V21" i="141"/>
  <c r="U21" i="141"/>
  <c r="T21" i="141"/>
  <c r="S21" i="141"/>
  <c r="R21" i="141"/>
  <c r="Q21" i="141"/>
  <c r="P21" i="141"/>
  <c r="L21" i="141"/>
  <c r="O21" i="141" s="1"/>
  <c r="Y20" i="141"/>
  <c r="W20" i="141"/>
  <c r="V20" i="141"/>
  <c r="U20" i="141"/>
  <c r="T20" i="141"/>
  <c r="S20" i="141"/>
  <c r="R20" i="141"/>
  <c r="Q20" i="141"/>
  <c r="P20" i="141"/>
  <c r="L20" i="141"/>
  <c r="O20" i="141" s="1"/>
  <c r="Y19" i="141"/>
  <c r="W19" i="141"/>
  <c r="V19" i="141"/>
  <c r="U19" i="141"/>
  <c r="T19" i="141"/>
  <c r="S19" i="141"/>
  <c r="R19" i="141"/>
  <c r="Q19" i="141"/>
  <c r="P19" i="141"/>
  <c r="L19" i="141"/>
  <c r="O19" i="141" s="1"/>
  <c r="Y18" i="141"/>
  <c r="W18" i="141"/>
  <c r="V18" i="141"/>
  <c r="U18" i="141"/>
  <c r="T18" i="141"/>
  <c r="S18" i="141"/>
  <c r="R18" i="141"/>
  <c r="Q18" i="141"/>
  <c r="P18" i="141"/>
  <c r="L18" i="141"/>
  <c r="O18" i="141" s="1"/>
  <c r="Y17" i="141"/>
  <c r="W17" i="141"/>
  <c r="V17" i="141"/>
  <c r="U17" i="141"/>
  <c r="T17" i="141"/>
  <c r="S17" i="141"/>
  <c r="R17" i="141"/>
  <c r="Q17" i="141"/>
  <c r="P17" i="141"/>
  <c r="L17" i="141"/>
  <c r="O17" i="141" s="1"/>
  <c r="Y16" i="141"/>
  <c r="W16" i="141"/>
  <c r="V16" i="141"/>
  <c r="U16" i="141"/>
  <c r="T16" i="141"/>
  <c r="S16" i="141"/>
  <c r="R16" i="141"/>
  <c r="Q16" i="141"/>
  <c r="P16" i="141"/>
  <c r="L16" i="141"/>
  <c r="O16" i="141" s="1"/>
  <c r="Y14" i="141"/>
  <c r="W14" i="141"/>
  <c r="V14" i="141"/>
  <c r="U14" i="141"/>
  <c r="T14" i="141"/>
  <c r="S14" i="141"/>
  <c r="R14" i="141"/>
  <c r="Q14" i="141"/>
  <c r="P14" i="141"/>
  <c r="L14" i="141"/>
  <c r="O14" i="141" s="1"/>
  <c r="Y13" i="141"/>
  <c r="W13" i="141"/>
  <c r="V13" i="141"/>
  <c r="U13" i="141"/>
  <c r="T13" i="141"/>
  <c r="S13" i="141"/>
  <c r="R13" i="141"/>
  <c r="Q13" i="141"/>
  <c r="P13" i="141"/>
  <c r="L13" i="141"/>
  <c r="O13" i="141" s="1"/>
  <c r="Y12" i="141"/>
  <c r="W12" i="141"/>
  <c r="V12" i="141"/>
  <c r="U12" i="141"/>
  <c r="T12" i="141"/>
  <c r="S12" i="141"/>
  <c r="R12" i="141"/>
  <c r="Q12" i="141"/>
  <c r="P12" i="141"/>
  <c r="L12" i="141"/>
  <c r="O12" i="141" s="1"/>
  <c r="Y11" i="141"/>
  <c r="W11" i="141"/>
  <c r="V11" i="141"/>
  <c r="U11" i="141"/>
  <c r="T11" i="141"/>
  <c r="S11" i="141"/>
  <c r="R11" i="141"/>
  <c r="Q11" i="141"/>
  <c r="P11" i="141"/>
  <c r="L11" i="141"/>
  <c r="O11" i="141" s="1"/>
  <c r="Y10" i="141"/>
  <c r="W10" i="141"/>
  <c r="V10" i="141"/>
  <c r="U10" i="141"/>
  <c r="T10" i="141"/>
  <c r="S10" i="141"/>
  <c r="R10" i="141"/>
  <c r="Q10" i="141"/>
  <c r="P10" i="141"/>
  <c r="L10" i="141"/>
  <c r="O10" i="141" s="1"/>
  <c r="Y9" i="141"/>
  <c r="W9" i="141"/>
  <c r="V9" i="141"/>
  <c r="U9" i="141"/>
  <c r="T9" i="141"/>
  <c r="S9" i="141"/>
  <c r="R9" i="141"/>
  <c r="Q9" i="141"/>
  <c r="P9" i="141"/>
  <c r="L9" i="141"/>
  <c r="AH22" i="135"/>
  <c r="AL21" i="135"/>
  <c r="AH21" i="135"/>
  <c r="AF21" i="135"/>
  <c r="AI12" i="135"/>
  <c r="AH12" i="135"/>
  <c r="AG12" i="135"/>
  <c r="AH13" i="135" s="1"/>
  <c r="AF12" i="135"/>
  <c r="AB12" i="135"/>
  <c r="AA12" i="135"/>
  <c r="Z12" i="135"/>
  <c r="Y12" i="135"/>
  <c r="Z13" i="135" s="1"/>
  <c r="X12" i="135"/>
  <c r="AC12" i="135"/>
  <c r="AF13" i="135" l="1"/>
  <c r="O9" i="141"/>
  <c r="L7" i="141"/>
  <c r="R7" i="141"/>
  <c r="S7" i="141"/>
  <c r="Q7" i="141"/>
  <c r="T7" i="141"/>
  <c r="U7" i="141"/>
  <c r="V7" i="141"/>
  <c r="W7" i="141"/>
  <c r="AJ12" i="135"/>
  <c r="P7" i="141"/>
  <c r="Y7" i="141"/>
  <c r="AA65" i="141"/>
  <c r="AA63" i="141"/>
  <c r="AM12" i="135"/>
  <c r="AK12" i="135"/>
  <c r="AE12" i="135"/>
  <c r="AD13" i="135" s="1"/>
  <c r="X62" i="141"/>
  <c r="AA62" i="141" s="1"/>
  <c r="X55" i="141"/>
  <c r="AA55" i="141" s="1"/>
  <c r="AD12" i="135"/>
  <c r="X45" i="141"/>
  <c r="AA45" i="141" s="1"/>
  <c r="X1" i="135"/>
  <c r="X52" i="141"/>
  <c r="AA52" i="141" s="1"/>
  <c r="C7" i="141"/>
  <c r="C5" i="141" s="1"/>
  <c r="X24" i="141"/>
  <c r="AA24" i="141" s="1"/>
  <c r="X28" i="141"/>
  <c r="AA28" i="141" s="1"/>
  <c r="X35" i="141"/>
  <c r="AA35" i="141" s="1"/>
  <c r="X38" i="141"/>
  <c r="AA38" i="141" s="1"/>
  <c r="X49" i="141"/>
  <c r="AA49" i="141" s="1"/>
  <c r="X10" i="141"/>
  <c r="AA10" i="141" s="1"/>
  <c r="X13" i="141"/>
  <c r="AA13" i="141" s="1"/>
  <c r="X36" i="141"/>
  <c r="AA36" i="141" s="1"/>
  <c r="X39" i="141"/>
  <c r="AA39" i="141" s="1"/>
  <c r="X46" i="141"/>
  <c r="AA46" i="141" s="1"/>
  <c r="X53" i="141"/>
  <c r="AA53" i="141" s="1"/>
  <c r="X60" i="141"/>
  <c r="AA60" i="141" s="1"/>
  <c r="AA64" i="141"/>
  <c r="X29" i="141"/>
  <c r="AA29" i="141" s="1"/>
  <c r="X50" i="141"/>
  <c r="AA50" i="141" s="1"/>
  <c r="X61" i="141"/>
  <c r="AA61" i="141" s="1"/>
  <c r="X19" i="141"/>
  <c r="AA19" i="141" s="1"/>
  <c r="X26" i="141"/>
  <c r="AA26" i="141" s="1"/>
  <c r="X33" i="141"/>
  <c r="AA33" i="141" s="1"/>
  <c r="X40" i="141"/>
  <c r="AA40" i="141" s="1"/>
  <c r="X44" i="141"/>
  <c r="AA44" i="141" s="1"/>
  <c r="X47" i="141"/>
  <c r="AA47" i="141" s="1"/>
  <c r="X57" i="141"/>
  <c r="AA57" i="141" s="1"/>
  <c r="X42" i="141"/>
  <c r="AA42" i="141" s="1"/>
  <c r="X21" i="141"/>
  <c r="AA21" i="141" s="1"/>
  <c r="X25" i="141"/>
  <c r="AA25" i="141" s="1"/>
  <c r="X32" i="141"/>
  <c r="AA32" i="141" s="1"/>
  <c r="X14" i="141"/>
  <c r="AA14" i="141" s="1"/>
  <c r="X22" i="141"/>
  <c r="AA22" i="141" s="1"/>
  <c r="X37" i="141"/>
  <c r="AA37" i="141" s="1"/>
  <c r="X51" i="141"/>
  <c r="AA51" i="141" s="1"/>
  <c r="X54" i="141"/>
  <c r="AA54" i="141" s="1"/>
  <c r="X9" i="141"/>
  <c r="X17" i="141"/>
  <c r="AA17" i="141" s="1"/>
  <c r="X31" i="141"/>
  <c r="AA31" i="141" s="1"/>
  <c r="X59" i="141"/>
  <c r="AA59" i="141" s="1"/>
  <c r="X18" i="141"/>
  <c r="AA18" i="141" s="1"/>
  <c r="X43" i="141"/>
  <c r="AA43" i="141" s="1"/>
  <c r="X11" i="141"/>
  <c r="AA11" i="141" s="1"/>
  <c r="X16" i="141"/>
  <c r="AA16" i="141" s="1"/>
  <c r="X20" i="141"/>
  <c r="AA20" i="141" s="1"/>
  <c r="X23" i="141"/>
  <c r="AA23" i="141" s="1"/>
  <c r="X27" i="141"/>
  <c r="AA27" i="141" s="1"/>
  <c r="X30" i="141"/>
  <c r="AA30" i="141" s="1"/>
  <c r="X34" i="141"/>
  <c r="AA34" i="141" s="1"/>
  <c r="X41" i="141"/>
  <c r="AA41" i="141" s="1"/>
  <c r="X48" i="141"/>
  <c r="AA48" i="141" s="1"/>
  <c r="X56" i="141"/>
  <c r="AA56" i="141" s="1"/>
  <c r="X58" i="141"/>
  <c r="AA58" i="141" s="1"/>
  <c r="O7" i="141"/>
  <c r="X12" i="141"/>
  <c r="AA12" i="141" s="1"/>
  <c r="AH14" i="135"/>
  <c r="X13" i="135"/>
  <c r="AQ15" i="135"/>
  <c r="AY15" i="135"/>
  <c r="AZ15" i="135"/>
  <c r="BA15" i="135"/>
  <c r="BB15" i="135"/>
  <c r="AS15" i="135"/>
  <c r="AT15" i="135"/>
  <c r="AR15" i="135"/>
  <c r="AU15" i="135"/>
  <c r="AV15" i="135"/>
  <c r="AW15" i="135"/>
  <c r="AX15" i="135"/>
  <c r="AY21" i="135"/>
  <c r="BA21" i="135"/>
  <c r="BE21" i="135"/>
  <c r="BA22" i="135"/>
  <c r="AQ19" i="135" l="1"/>
  <c r="AY19" i="135" s="1"/>
  <c r="AJ13" i="135"/>
  <c r="AF16" i="135"/>
  <c r="X16" i="135" s="1"/>
  <c r="AL1" i="135"/>
  <c r="AA9" i="141"/>
  <c r="X7" i="141"/>
  <c r="AF17" i="135"/>
  <c r="X17" i="135" s="1"/>
  <c r="AB13" i="135"/>
  <c r="N147" i="140"/>
  <c r="AL13" i="135"/>
  <c r="C6" i="141"/>
  <c r="AF18" i="135"/>
  <c r="X18" i="135" s="1"/>
  <c r="AA7" i="141"/>
  <c r="AU16" i="135"/>
  <c r="Z14" i="135"/>
  <c r="BC16" i="135"/>
  <c r="AQ20" i="135"/>
  <c r="AY20" i="135" s="1"/>
  <c r="AQ16" i="135"/>
  <c r="AY16" i="135"/>
  <c r="U5" i="135" l="1"/>
  <c r="AD14" i="135"/>
  <c r="AL14" i="135"/>
  <c r="AQ18" i="135"/>
  <c r="AY18" i="135" s="1"/>
  <c r="R144" i="140" l="1"/>
  <c r="N145" i="140"/>
  <c r="K135" i="140"/>
  <c r="J135" i="140"/>
  <c r="J2" i="140" s="1"/>
  <c r="K134" i="140"/>
  <c r="K133" i="140"/>
  <c r="K132" i="140"/>
  <c r="K131" i="140"/>
  <c r="K130" i="140"/>
  <c r="K129" i="140"/>
  <c r="K128" i="140"/>
  <c r="K127" i="140"/>
  <c r="K126" i="140"/>
  <c r="K125" i="140"/>
  <c r="K124" i="140"/>
  <c r="K123" i="140"/>
  <c r="K122" i="140"/>
  <c r="K121" i="140"/>
  <c r="K120" i="140"/>
  <c r="K119" i="140"/>
  <c r="K118" i="140"/>
  <c r="K117" i="140"/>
  <c r="K116" i="140"/>
  <c r="K115" i="140"/>
  <c r="K114" i="140"/>
  <c r="K113" i="140"/>
  <c r="K112" i="140"/>
  <c r="K111" i="140"/>
  <c r="K110" i="140"/>
  <c r="K109" i="140"/>
  <c r="K108" i="140"/>
  <c r="K107" i="140"/>
  <c r="K106" i="140"/>
  <c r="K105" i="140"/>
  <c r="K104" i="140"/>
  <c r="K103" i="140"/>
  <c r="K102" i="140"/>
  <c r="K101" i="140"/>
  <c r="K100" i="140"/>
  <c r="K99" i="140"/>
  <c r="K98" i="140"/>
  <c r="K97" i="140"/>
  <c r="K96" i="140"/>
  <c r="K95" i="140"/>
  <c r="K94" i="140"/>
  <c r="K93" i="140"/>
  <c r="K92" i="140"/>
  <c r="K91" i="140"/>
  <c r="K90" i="140"/>
  <c r="K89" i="140"/>
  <c r="K88" i="140"/>
  <c r="K87" i="140"/>
  <c r="K86" i="140"/>
  <c r="K85" i="140"/>
  <c r="K84" i="140"/>
  <c r="K83" i="140"/>
  <c r="K82" i="140"/>
  <c r="K81" i="140"/>
  <c r="K80" i="140"/>
  <c r="K79" i="140"/>
  <c r="K78" i="140"/>
  <c r="K77" i="140"/>
  <c r="K76" i="140"/>
  <c r="K75" i="140"/>
  <c r="K74" i="140"/>
  <c r="K73" i="140"/>
  <c r="K72" i="140"/>
  <c r="K71" i="140"/>
  <c r="K70" i="140"/>
  <c r="K69" i="140"/>
  <c r="K68" i="140"/>
  <c r="K67" i="140"/>
  <c r="K66" i="140"/>
  <c r="K65" i="140"/>
  <c r="K64" i="140"/>
  <c r="K63" i="140"/>
  <c r="K62" i="140"/>
  <c r="K61" i="140"/>
  <c r="K60" i="140"/>
  <c r="K59" i="140"/>
  <c r="K58" i="140"/>
  <c r="K57" i="140"/>
  <c r="K56" i="140"/>
  <c r="K55" i="140"/>
  <c r="K54" i="140"/>
  <c r="K53" i="140"/>
  <c r="K52" i="140"/>
  <c r="K51" i="140"/>
  <c r="K50" i="140"/>
  <c r="K49" i="140"/>
  <c r="K48" i="140"/>
  <c r="K47" i="140"/>
  <c r="K46" i="140"/>
  <c r="K45" i="140"/>
  <c r="K44" i="140"/>
  <c r="K43" i="140"/>
  <c r="K42" i="140"/>
  <c r="K41" i="140"/>
  <c r="K40" i="140"/>
  <c r="K39" i="140"/>
  <c r="K38" i="140"/>
  <c r="K37" i="140"/>
  <c r="K36" i="140"/>
  <c r="K35" i="140"/>
  <c r="K34" i="140"/>
  <c r="K33" i="140"/>
  <c r="K32" i="140"/>
  <c r="K31" i="140"/>
  <c r="K30" i="140"/>
  <c r="K29" i="140"/>
  <c r="K28" i="140"/>
  <c r="K27" i="140"/>
  <c r="K26" i="140"/>
  <c r="K25" i="140"/>
  <c r="K24" i="140"/>
  <c r="K23" i="140"/>
  <c r="K22" i="140"/>
  <c r="K21" i="140"/>
  <c r="K20" i="140"/>
  <c r="K19" i="140"/>
  <c r="K18" i="140"/>
  <c r="K17" i="140"/>
  <c r="K16" i="140"/>
  <c r="K15" i="140"/>
  <c r="K14" i="140"/>
  <c r="K13" i="140"/>
  <c r="K12" i="140"/>
  <c r="K11" i="140"/>
  <c r="K10" i="140"/>
  <c r="K9" i="140"/>
  <c r="K8" i="140"/>
  <c r="K7" i="140"/>
  <c r="K6" i="140"/>
  <c r="K5" i="140"/>
  <c r="K4" i="140"/>
  <c r="I2" i="140"/>
  <c r="H2" i="140"/>
  <c r="E7" i="138"/>
  <c r="U16" i="135" l="1"/>
  <c r="U17" i="135" s="1"/>
  <c r="U18" i="135" s="1"/>
  <c r="G2" i="140"/>
  <c r="K2" i="140"/>
  <c r="G1" i="140" s="1"/>
  <c r="N148" i="140"/>
  <c r="K6" i="138"/>
  <c r="J6" i="138"/>
  <c r="I6" i="138"/>
  <c r="H6" i="138"/>
  <c r="G6" i="138"/>
  <c r="F6" i="138"/>
  <c r="E6" i="138"/>
  <c r="D6" i="138"/>
  <c r="Z7" i="138"/>
  <c r="K7" i="138"/>
  <c r="J7" i="138"/>
  <c r="I7" i="138"/>
  <c r="H7" i="138"/>
  <c r="G7" i="138"/>
  <c r="F7" i="138"/>
  <c r="D7" i="138"/>
  <c r="Y258" i="138"/>
  <c r="V258" i="138"/>
  <c r="X258" i="138" s="1"/>
  <c r="L258" i="138"/>
  <c r="O258" i="138" s="1"/>
  <c r="Y257" i="138"/>
  <c r="V257" i="138"/>
  <c r="X257" i="138" s="1"/>
  <c r="L257" i="138"/>
  <c r="O257" i="138" s="1"/>
  <c r="Y256" i="138"/>
  <c r="V256" i="138"/>
  <c r="X256" i="138" s="1"/>
  <c r="L256" i="138"/>
  <c r="O256" i="138" s="1"/>
  <c r="Y255" i="138"/>
  <c r="V255" i="138"/>
  <c r="R255" i="138"/>
  <c r="L255" i="138"/>
  <c r="O255" i="138" s="1"/>
  <c r="Y254" i="138"/>
  <c r="W254" i="138"/>
  <c r="V254" i="138"/>
  <c r="U254" i="138"/>
  <c r="T254" i="138"/>
  <c r="S254" i="138"/>
  <c r="R254" i="138"/>
  <c r="Q254" i="138"/>
  <c r="P254" i="138"/>
  <c r="L254" i="138"/>
  <c r="O254" i="138" s="1"/>
  <c r="Y253" i="138"/>
  <c r="W253" i="138"/>
  <c r="V253" i="138"/>
  <c r="U253" i="138"/>
  <c r="T253" i="138"/>
  <c r="S253" i="138"/>
  <c r="R253" i="138"/>
  <c r="Q253" i="138"/>
  <c r="P253" i="138"/>
  <c r="L253" i="138"/>
  <c r="O253" i="138" s="1"/>
  <c r="Y252" i="138"/>
  <c r="W252" i="138"/>
  <c r="V252" i="138"/>
  <c r="U252" i="138"/>
  <c r="T252" i="138"/>
  <c r="S252" i="138"/>
  <c r="R252" i="138"/>
  <c r="Q252" i="138"/>
  <c r="P252" i="138"/>
  <c r="L252" i="138"/>
  <c r="O252" i="138" s="1"/>
  <c r="Y251" i="138"/>
  <c r="W251" i="138"/>
  <c r="V251" i="138"/>
  <c r="U251" i="138"/>
  <c r="T251" i="138"/>
  <c r="S251" i="138"/>
  <c r="R251" i="138"/>
  <c r="Q251" i="138"/>
  <c r="P251" i="138"/>
  <c r="L251" i="138"/>
  <c r="O251" i="138" s="1"/>
  <c r="Y250" i="138"/>
  <c r="W250" i="138"/>
  <c r="V250" i="138"/>
  <c r="U250" i="138"/>
  <c r="T250" i="138"/>
  <c r="S250" i="138"/>
  <c r="R250" i="138"/>
  <c r="Q250" i="138"/>
  <c r="P250" i="138"/>
  <c r="L250" i="138"/>
  <c r="O250" i="138" s="1"/>
  <c r="Y249" i="138"/>
  <c r="W249" i="138"/>
  <c r="V249" i="138"/>
  <c r="U249" i="138"/>
  <c r="T249" i="138"/>
  <c r="S249" i="138"/>
  <c r="R249" i="138"/>
  <c r="Q249" i="138"/>
  <c r="P249" i="138"/>
  <c r="L249" i="138"/>
  <c r="O249" i="138" s="1"/>
  <c r="Y248" i="138"/>
  <c r="W248" i="138"/>
  <c r="V248" i="138"/>
  <c r="U248" i="138"/>
  <c r="T248" i="138"/>
  <c r="S248" i="138"/>
  <c r="R248" i="138"/>
  <c r="Q248" i="138"/>
  <c r="P248" i="138"/>
  <c r="L248" i="138"/>
  <c r="O248" i="138" s="1"/>
  <c r="Y247" i="138"/>
  <c r="W247" i="138"/>
  <c r="V247" i="138"/>
  <c r="U247" i="138"/>
  <c r="T247" i="138"/>
  <c r="S247" i="138"/>
  <c r="R247" i="138"/>
  <c r="Q247" i="138"/>
  <c r="P247" i="138"/>
  <c r="L247" i="138"/>
  <c r="O247" i="138" s="1"/>
  <c r="Y246" i="138"/>
  <c r="W246" i="138"/>
  <c r="V246" i="138"/>
  <c r="U246" i="138"/>
  <c r="T246" i="138"/>
  <c r="S246" i="138"/>
  <c r="R246" i="138"/>
  <c r="Q246" i="138"/>
  <c r="P246" i="138"/>
  <c r="L246" i="138"/>
  <c r="O246" i="138" s="1"/>
  <c r="Y245" i="138"/>
  <c r="W245" i="138"/>
  <c r="V245" i="138"/>
  <c r="U245" i="138"/>
  <c r="T245" i="138"/>
  <c r="S245" i="138"/>
  <c r="R245" i="138"/>
  <c r="Q245" i="138"/>
  <c r="P245" i="138"/>
  <c r="L245" i="138"/>
  <c r="O245" i="138" s="1"/>
  <c r="Y244" i="138"/>
  <c r="W244" i="138"/>
  <c r="V244" i="138"/>
  <c r="U244" i="138"/>
  <c r="T244" i="138"/>
  <c r="S244" i="138"/>
  <c r="R244" i="138"/>
  <c r="Q244" i="138"/>
  <c r="P244" i="138"/>
  <c r="L244" i="138"/>
  <c r="O244" i="138" s="1"/>
  <c r="Y243" i="138"/>
  <c r="W243" i="138"/>
  <c r="V243" i="138"/>
  <c r="U243" i="138"/>
  <c r="T243" i="138"/>
  <c r="S243" i="138"/>
  <c r="R243" i="138"/>
  <c r="Q243" i="138"/>
  <c r="P243" i="138"/>
  <c r="L243" i="138"/>
  <c r="O243" i="138" s="1"/>
  <c r="Y242" i="138"/>
  <c r="W242" i="138"/>
  <c r="V242" i="138"/>
  <c r="U242" i="138"/>
  <c r="T242" i="138"/>
  <c r="S242" i="138"/>
  <c r="R242" i="138"/>
  <c r="Q242" i="138"/>
  <c r="P242" i="138"/>
  <c r="L242" i="138"/>
  <c r="O242" i="138" s="1"/>
  <c r="Y241" i="138"/>
  <c r="W241" i="138"/>
  <c r="V241" i="138"/>
  <c r="U241" i="138"/>
  <c r="T241" i="138"/>
  <c r="S241" i="138"/>
  <c r="R241" i="138"/>
  <c r="Q241" i="138"/>
  <c r="P241" i="138"/>
  <c r="L241" i="138"/>
  <c r="O241" i="138" s="1"/>
  <c r="Y240" i="138"/>
  <c r="W240" i="138"/>
  <c r="V240" i="138"/>
  <c r="U240" i="138"/>
  <c r="T240" i="138"/>
  <c r="S240" i="138"/>
  <c r="R240" i="138"/>
  <c r="Q240" i="138"/>
  <c r="P240" i="138"/>
  <c r="L240" i="138"/>
  <c r="O240" i="138" s="1"/>
  <c r="Y239" i="138"/>
  <c r="W239" i="138"/>
  <c r="V239" i="138"/>
  <c r="U239" i="138"/>
  <c r="T239" i="138"/>
  <c r="S239" i="138"/>
  <c r="R239" i="138"/>
  <c r="Q239" i="138"/>
  <c r="P239" i="138"/>
  <c r="L239" i="138"/>
  <c r="O239" i="138" s="1"/>
  <c r="Y238" i="138"/>
  <c r="W238" i="138"/>
  <c r="V238" i="138"/>
  <c r="U238" i="138"/>
  <c r="T238" i="138"/>
  <c r="S238" i="138"/>
  <c r="R238" i="138"/>
  <c r="Q238" i="138"/>
  <c r="P238" i="138"/>
  <c r="L238" i="138"/>
  <c r="O238" i="138" s="1"/>
  <c r="Y237" i="138"/>
  <c r="W237" i="138"/>
  <c r="V237" i="138"/>
  <c r="U237" i="138"/>
  <c r="T237" i="138"/>
  <c r="S237" i="138"/>
  <c r="R237" i="138"/>
  <c r="Q237" i="138"/>
  <c r="P237" i="138"/>
  <c r="L237" i="138"/>
  <c r="O237" i="138" s="1"/>
  <c r="Y236" i="138"/>
  <c r="W236" i="138"/>
  <c r="V236" i="138"/>
  <c r="U236" i="138"/>
  <c r="T236" i="138"/>
  <c r="S236" i="138"/>
  <c r="R236" i="138"/>
  <c r="Q236" i="138"/>
  <c r="P236" i="138"/>
  <c r="L236" i="138"/>
  <c r="O236" i="138" s="1"/>
  <c r="Y235" i="138"/>
  <c r="W235" i="138"/>
  <c r="V235" i="138"/>
  <c r="U235" i="138"/>
  <c r="T235" i="138"/>
  <c r="S235" i="138"/>
  <c r="R235" i="138"/>
  <c r="Q235" i="138"/>
  <c r="P235" i="138"/>
  <c r="L235" i="138"/>
  <c r="O235" i="138" s="1"/>
  <c r="Y234" i="138"/>
  <c r="W234" i="138"/>
  <c r="V234" i="138"/>
  <c r="U234" i="138"/>
  <c r="T234" i="138"/>
  <c r="S234" i="138"/>
  <c r="R234" i="138"/>
  <c r="Q234" i="138"/>
  <c r="P234" i="138"/>
  <c r="L234" i="138"/>
  <c r="O234" i="138" s="1"/>
  <c r="Y233" i="138"/>
  <c r="W233" i="138"/>
  <c r="V233" i="138"/>
  <c r="U233" i="138"/>
  <c r="T233" i="138"/>
  <c r="S233" i="138"/>
  <c r="R233" i="138"/>
  <c r="Q233" i="138"/>
  <c r="P233" i="138"/>
  <c r="L233" i="138"/>
  <c r="O233" i="138" s="1"/>
  <c r="Y232" i="138"/>
  <c r="W232" i="138"/>
  <c r="V232" i="138"/>
  <c r="U232" i="138"/>
  <c r="T232" i="138"/>
  <c r="S232" i="138"/>
  <c r="R232" i="138"/>
  <c r="Q232" i="138"/>
  <c r="P232" i="138"/>
  <c r="L232" i="138"/>
  <c r="O232" i="138" s="1"/>
  <c r="Y231" i="138"/>
  <c r="W231" i="138"/>
  <c r="V231" i="138"/>
  <c r="U231" i="138"/>
  <c r="T231" i="138"/>
  <c r="S231" i="138"/>
  <c r="R231" i="138"/>
  <c r="Q231" i="138"/>
  <c r="P231" i="138"/>
  <c r="L231" i="138"/>
  <c r="O231" i="138" s="1"/>
  <c r="Y230" i="138"/>
  <c r="W230" i="138"/>
  <c r="V230" i="138"/>
  <c r="U230" i="138"/>
  <c r="T230" i="138"/>
  <c r="S230" i="138"/>
  <c r="R230" i="138"/>
  <c r="Q230" i="138"/>
  <c r="P230" i="138"/>
  <c r="L230" i="138"/>
  <c r="O230" i="138" s="1"/>
  <c r="Y229" i="138"/>
  <c r="W229" i="138"/>
  <c r="V229" i="138"/>
  <c r="U229" i="138"/>
  <c r="T229" i="138"/>
  <c r="S229" i="138"/>
  <c r="R229" i="138"/>
  <c r="Q229" i="138"/>
  <c r="P229" i="138"/>
  <c r="L229" i="138"/>
  <c r="O229" i="138" s="1"/>
  <c r="Y228" i="138"/>
  <c r="W228" i="138"/>
  <c r="V228" i="138"/>
  <c r="U228" i="138"/>
  <c r="T228" i="138"/>
  <c r="S228" i="138"/>
  <c r="R228" i="138"/>
  <c r="Q228" i="138"/>
  <c r="P228" i="138"/>
  <c r="L228" i="138"/>
  <c r="O228" i="138" s="1"/>
  <c r="Y227" i="138"/>
  <c r="W227" i="138"/>
  <c r="V227" i="138"/>
  <c r="U227" i="138"/>
  <c r="T227" i="138"/>
  <c r="S227" i="138"/>
  <c r="R227" i="138"/>
  <c r="Q227" i="138"/>
  <c r="P227" i="138"/>
  <c r="L227" i="138"/>
  <c r="O227" i="138" s="1"/>
  <c r="Y226" i="138"/>
  <c r="W226" i="138"/>
  <c r="V226" i="138"/>
  <c r="U226" i="138"/>
  <c r="T226" i="138"/>
  <c r="S226" i="138"/>
  <c r="R226" i="138"/>
  <c r="Q226" i="138"/>
  <c r="P226" i="138"/>
  <c r="L226" i="138"/>
  <c r="O226" i="138" s="1"/>
  <c r="Y225" i="138"/>
  <c r="W225" i="138"/>
  <c r="V225" i="138"/>
  <c r="U225" i="138"/>
  <c r="T225" i="138"/>
  <c r="S225" i="138"/>
  <c r="R225" i="138"/>
  <c r="Q225" i="138"/>
  <c r="P225" i="138"/>
  <c r="L225" i="138"/>
  <c r="O225" i="138" s="1"/>
  <c r="Y224" i="138"/>
  <c r="W224" i="138"/>
  <c r="V224" i="138"/>
  <c r="U224" i="138"/>
  <c r="T224" i="138"/>
  <c r="S224" i="138"/>
  <c r="R224" i="138"/>
  <c r="Q224" i="138"/>
  <c r="P224" i="138"/>
  <c r="L224" i="138"/>
  <c r="O224" i="138" s="1"/>
  <c r="Y223" i="138"/>
  <c r="W223" i="138"/>
  <c r="V223" i="138"/>
  <c r="U223" i="138"/>
  <c r="T223" i="138"/>
  <c r="S223" i="138"/>
  <c r="R223" i="138"/>
  <c r="Q223" i="138"/>
  <c r="P223" i="138"/>
  <c r="L223" i="138"/>
  <c r="O223" i="138" s="1"/>
  <c r="Y222" i="138"/>
  <c r="W222" i="138"/>
  <c r="V222" i="138"/>
  <c r="U222" i="138"/>
  <c r="T222" i="138"/>
  <c r="S222" i="138"/>
  <c r="R222" i="138"/>
  <c r="Q222" i="138"/>
  <c r="P222" i="138"/>
  <c r="L222" i="138"/>
  <c r="O222" i="138" s="1"/>
  <c r="Y221" i="138"/>
  <c r="W221" i="138"/>
  <c r="V221" i="138"/>
  <c r="U221" i="138"/>
  <c r="T221" i="138"/>
  <c r="S221" i="138"/>
  <c r="R221" i="138"/>
  <c r="Q221" i="138"/>
  <c r="P221" i="138"/>
  <c r="L221" i="138"/>
  <c r="O221" i="138" s="1"/>
  <c r="Y220" i="138"/>
  <c r="W220" i="138"/>
  <c r="V220" i="138"/>
  <c r="U220" i="138"/>
  <c r="T220" i="138"/>
  <c r="S220" i="138"/>
  <c r="R220" i="138"/>
  <c r="Q220" i="138"/>
  <c r="P220" i="138"/>
  <c r="L220" i="138"/>
  <c r="O220" i="138" s="1"/>
  <c r="Y219" i="138"/>
  <c r="W219" i="138"/>
  <c r="V219" i="138"/>
  <c r="U219" i="138"/>
  <c r="T219" i="138"/>
  <c r="S219" i="138"/>
  <c r="R219" i="138"/>
  <c r="Q219" i="138"/>
  <c r="P219" i="138"/>
  <c r="L219" i="138"/>
  <c r="O219" i="138" s="1"/>
  <c r="Y218" i="138"/>
  <c r="W218" i="138"/>
  <c r="V218" i="138"/>
  <c r="U218" i="138"/>
  <c r="T218" i="138"/>
  <c r="S218" i="138"/>
  <c r="R218" i="138"/>
  <c r="Q218" i="138"/>
  <c r="P218" i="138"/>
  <c r="L218" i="138"/>
  <c r="O218" i="138" s="1"/>
  <c r="Y217" i="138"/>
  <c r="W217" i="138"/>
  <c r="V217" i="138"/>
  <c r="U217" i="138"/>
  <c r="T217" i="138"/>
  <c r="S217" i="138"/>
  <c r="R217" i="138"/>
  <c r="Q217" i="138"/>
  <c r="P217" i="138"/>
  <c r="L217" i="138"/>
  <c r="O217" i="138" s="1"/>
  <c r="Y216" i="138"/>
  <c r="W216" i="138"/>
  <c r="V216" i="138"/>
  <c r="U216" i="138"/>
  <c r="T216" i="138"/>
  <c r="S216" i="138"/>
  <c r="R216" i="138"/>
  <c r="Q216" i="138"/>
  <c r="P216" i="138"/>
  <c r="L216" i="138"/>
  <c r="O216" i="138" s="1"/>
  <c r="Y215" i="138"/>
  <c r="W215" i="138"/>
  <c r="V215" i="138"/>
  <c r="U215" i="138"/>
  <c r="T215" i="138"/>
  <c r="S215" i="138"/>
  <c r="R215" i="138"/>
  <c r="Q215" i="138"/>
  <c r="P215" i="138"/>
  <c r="L215" i="138"/>
  <c r="O215" i="138" s="1"/>
  <c r="Y214" i="138"/>
  <c r="W214" i="138"/>
  <c r="V214" i="138"/>
  <c r="U214" i="138"/>
  <c r="T214" i="138"/>
  <c r="S214" i="138"/>
  <c r="R214" i="138"/>
  <c r="Q214" i="138"/>
  <c r="P214" i="138"/>
  <c r="L214" i="138"/>
  <c r="O214" i="138" s="1"/>
  <c r="Y213" i="138"/>
  <c r="W213" i="138"/>
  <c r="V213" i="138"/>
  <c r="U213" i="138"/>
  <c r="T213" i="138"/>
  <c r="S213" i="138"/>
  <c r="R213" i="138"/>
  <c r="Q213" i="138"/>
  <c r="P213" i="138"/>
  <c r="L213" i="138"/>
  <c r="O213" i="138" s="1"/>
  <c r="Y212" i="138"/>
  <c r="W212" i="138"/>
  <c r="V212" i="138"/>
  <c r="U212" i="138"/>
  <c r="T212" i="138"/>
  <c r="S212" i="138"/>
  <c r="R212" i="138"/>
  <c r="Q212" i="138"/>
  <c r="P212" i="138"/>
  <c r="L212" i="138"/>
  <c r="O212" i="138" s="1"/>
  <c r="Y211" i="138"/>
  <c r="W211" i="138"/>
  <c r="V211" i="138"/>
  <c r="U211" i="138"/>
  <c r="T211" i="138"/>
  <c r="S211" i="138"/>
  <c r="R211" i="138"/>
  <c r="Q211" i="138"/>
  <c r="P211" i="138"/>
  <c r="L211" i="138"/>
  <c r="O211" i="138" s="1"/>
  <c r="Y210" i="138"/>
  <c r="W210" i="138"/>
  <c r="V210" i="138"/>
  <c r="U210" i="138"/>
  <c r="T210" i="138"/>
  <c r="S210" i="138"/>
  <c r="R210" i="138"/>
  <c r="Q210" i="138"/>
  <c r="P210" i="138"/>
  <c r="L210" i="138"/>
  <c r="O210" i="138" s="1"/>
  <c r="Y209" i="138"/>
  <c r="W209" i="138"/>
  <c r="V209" i="138"/>
  <c r="U209" i="138"/>
  <c r="T209" i="138"/>
  <c r="S209" i="138"/>
  <c r="R209" i="138"/>
  <c r="Q209" i="138"/>
  <c r="P209" i="138"/>
  <c r="L209" i="138"/>
  <c r="O209" i="138" s="1"/>
  <c r="Y208" i="138"/>
  <c r="W208" i="138"/>
  <c r="V208" i="138"/>
  <c r="U208" i="138"/>
  <c r="T208" i="138"/>
  <c r="S208" i="138"/>
  <c r="R208" i="138"/>
  <c r="Q208" i="138"/>
  <c r="P208" i="138"/>
  <c r="L208" i="138"/>
  <c r="O208" i="138" s="1"/>
  <c r="Y207" i="138"/>
  <c r="W207" i="138"/>
  <c r="V207" i="138"/>
  <c r="U207" i="138"/>
  <c r="T207" i="138"/>
  <c r="S207" i="138"/>
  <c r="R207" i="138"/>
  <c r="Q207" i="138"/>
  <c r="P207" i="138"/>
  <c r="L207" i="138"/>
  <c r="O207" i="138" s="1"/>
  <c r="Y206" i="138"/>
  <c r="W206" i="138"/>
  <c r="V206" i="138"/>
  <c r="U206" i="138"/>
  <c r="T206" i="138"/>
  <c r="S206" i="138"/>
  <c r="R206" i="138"/>
  <c r="Q206" i="138"/>
  <c r="P206" i="138"/>
  <c r="L206" i="138"/>
  <c r="O206" i="138" s="1"/>
  <c r="Y205" i="138"/>
  <c r="W205" i="138"/>
  <c r="V205" i="138"/>
  <c r="U205" i="138"/>
  <c r="T205" i="138"/>
  <c r="S205" i="138"/>
  <c r="R205" i="138"/>
  <c r="Q205" i="138"/>
  <c r="P205" i="138"/>
  <c r="L205" i="138"/>
  <c r="O205" i="138" s="1"/>
  <c r="Y204" i="138"/>
  <c r="W204" i="138"/>
  <c r="V204" i="138"/>
  <c r="U204" i="138"/>
  <c r="T204" i="138"/>
  <c r="S204" i="138"/>
  <c r="R204" i="138"/>
  <c r="Q204" i="138"/>
  <c r="P204" i="138"/>
  <c r="L204" i="138"/>
  <c r="O204" i="138" s="1"/>
  <c r="Y203" i="138"/>
  <c r="W203" i="138"/>
  <c r="V203" i="138"/>
  <c r="U203" i="138"/>
  <c r="T203" i="138"/>
  <c r="S203" i="138"/>
  <c r="R203" i="138"/>
  <c r="Q203" i="138"/>
  <c r="P203" i="138"/>
  <c r="L203" i="138"/>
  <c r="O203" i="138" s="1"/>
  <c r="Y202" i="138"/>
  <c r="W202" i="138"/>
  <c r="V202" i="138"/>
  <c r="U202" i="138"/>
  <c r="T202" i="138"/>
  <c r="S202" i="138"/>
  <c r="R202" i="138"/>
  <c r="Q202" i="138"/>
  <c r="P202" i="138"/>
  <c r="L202" i="138"/>
  <c r="O202" i="138" s="1"/>
  <c r="Y201" i="138"/>
  <c r="W201" i="138"/>
  <c r="V201" i="138"/>
  <c r="U201" i="138"/>
  <c r="T201" i="138"/>
  <c r="S201" i="138"/>
  <c r="R201" i="138"/>
  <c r="Q201" i="138"/>
  <c r="P201" i="138"/>
  <c r="L201" i="138"/>
  <c r="O201" i="138" s="1"/>
  <c r="Y200" i="138"/>
  <c r="W200" i="138"/>
  <c r="V200" i="138"/>
  <c r="U200" i="138"/>
  <c r="T200" i="138"/>
  <c r="S200" i="138"/>
  <c r="R200" i="138"/>
  <c r="Q200" i="138"/>
  <c r="P200" i="138"/>
  <c r="L200" i="138"/>
  <c r="O200" i="138" s="1"/>
  <c r="Y199" i="138"/>
  <c r="W199" i="138"/>
  <c r="V199" i="138"/>
  <c r="U199" i="138"/>
  <c r="T199" i="138"/>
  <c r="S199" i="138"/>
  <c r="R199" i="138"/>
  <c r="Q199" i="138"/>
  <c r="P199" i="138"/>
  <c r="L199" i="138"/>
  <c r="O199" i="138" s="1"/>
  <c r="Y198" i="138"/>
  <c r="W198" i="138"/>
  <c r="V198" i="138"/>
  <c r="U198" i="138"/>
  <c r="T198" i="138"/>
  <c r="S198" i="138"/>
  <c r="R198" i="138"/>
  <c r="Q198" i="138"/>
  <c r="P198" i="138"/>
  <c r="L198" i="138"/>
  <c r="O198" i="138" s="1"/>
  <c r="Y197" i="138"/>
  <c r="W197" i="138"/>
  <c r="V197" i="138"/>
  <c r="U197" i="138"/>
  <c r="T197" i="138"/>
  <c r="S197" i="138"/>
  <c r="R197" i="138"/>
  <c r="Q197" i="138"/>
  <c r="P197" i="138"/>
  <c r="L197" i="138"/>
  <c r="O197" i="138" s="1"/>
  <c r="Y196" i="138"/>
  <c r="W196" i="138"/>
  <c r="V196" i="138"/>
  <c r="U196" i="138"/>
  <c r="T196" i="138"/>
  <c r="S196" i="138"/>
  <c r="R196" i="138"/>
  <c r="Q196" i="138"/>
  <c r="P196" i="138"/>
  <c r="L196" i="138"/>
  <c r="O196" i="138" s="1"/>
  <c r="Y195" i="138"/>
  <c r="W195" i="138"/>
  <c r="V195" i="138"/>
  <c r="U195" i="138"/>
  <c r="T195" i="138"/>
  <c r="S195" i="138"/>
  <c r="R195" i="138"/>
  <c r="Q195" i="138"/>
  <c r="P195" i="138"/>
  <c r="L195" i="138"/>
  <c r="O195" i="138" s="1"/>
  <c r="Y194" i="138"/>
  <c r="W194" i="138"/>
  <c r="V194" i="138"/>
  <c r="U194" i="138"/>
  <c r="T194" i="138"/>
  <c r="S194" i="138"/>
  <c r="R194" i="138"/>
  <c r="Q194" i="138"/>
  <c r="P194" i="138"/>
  <c r="L194" i="138"/>
  <c r="O194" i="138" s="1"/>
  <c r="Y193" i="138"/>
  <c r="W193" i="138"/>
  <c r="V193" i="138"/>
  <c r="U193" i="138"/>
  <c r="T193" i="138"/>
  <c r="S193" i="138"/>
  <c r="R193" i="138"/>
  <c r="Q193" i="138"/>
  <c r="P193" i="138"/>
  <c r="L193" i="138"/>
  <c r="O193" i="138" s="1"/>
  <c r="Y192" i="138"/>
  <c r="W192" i="138"/>
  <c r="V192" i="138"/>
  <c r="U192" i="138"/>
  <c r="T192" i="138"/>
  <c r="S192" i="138"/>
  <c r="R192" i="138"/>
  <c r="Q192" i="138"/>
  <c r="P192" i="138"/>
  <c r="L192" i="138"/>
  <c r="O192" i="138" s="1"/>
  <c r="Y191" i="138"/>
  <c r="W191" i="138"/>
  <c r="V191" i="138"/>
  <c r="U191" i="138"/>
  <c r="T191" i="138"/>
  <c r="S191" i="138"/>
  <c r="R191" i="138"/>
  <c r="Q191" i="138"/>
  <c r="P191" i="138"/>
  <c r="L191" i="138"/>
  <c r="O191" i="138" s="1"/>
  <c r="Y190" i="138"/>
  <c r="W190" i="138"/>
  <c r="V190" i="138"/>
  <c r="U190" i="138"/>
  <c r="T190" i="138"/>
  <c r="S190" i="138"/>
  <c r="R190" i="138"/>
  <c r="Q190" i="138"/>
  <c r="P190" i="138"/>
  <c r="L190" i="138"/>
  <c r="O190" i="138" s="1"/>
  <c r="Y189" i="138"/>
  <c r="W189" i="138"/>
  <c r="V189" i="138"/>
  <c r="U189" i="138"/>
  <c r="T189" i="138"/>
  <c r="S189" i="138"/>
  <c r="R189" i="138"/>
  <c r="Q189" i="138"/>
  <c r="P189" i="138"/>
  <c r="L189" i="138"/>
  <c r="O189" i="138" s="1"/>
  <c r="Y188" i="138"/>
  <c r="W188" i="138"/>
  <c r="V188" i="138"/>
  <c r="U188" i="138"/>
  <c r="T188" i="138"/>
  <c r="S188" i="138"/>
  <c r="R188" i="138"/>
  <c r="Q188" i="138"/>
  <c r="P188" i="138"/>
  <c r="L188" i="138"/>
  <c r="O188" i="138" s="1"/>
  <c r="Y187" i="138"/>
  <c r="W187" i="138"/>
  <c r="V187" i="138"/>
  <c r="U187" i="138"/>
  <c r="T187" i="138"/>
  <c r="S187" i="138"/>
  <c r="R187" i="138"/>
  <c r="Q187" i="138"/>
  <c r="P187" i="138"/>
  <c r="L187" i="138"/>
  <c r="O187" i="138" s="1"/>
  <c r="Y186" i="138"/>
  <c r="W186" i="138"/>
  <c r="V186" i="138"/>
  <c r="U186" i="138"/>
  <c r="T186" i="138"/>
  <c r="S186" i="138"/>
  <c r="R186" i="138"/>
  <c r="Q186" i="138"/>
  <c r="P186" i="138"/>
  <c r="L186" i="138"/>
  <c r="O186" i="138" s="1"/>
  <c r="Y185" i="138"/>
  <c r="W185" i="138"/>
  <c r="V185" i="138"/>
  <c r="U185" i="138"/>
  <c r="T185" i="138"/>
  <c r="S185" i="138"/>
  <c r="R185" i="138"/>
  <c r="Q185" i="138"/>
  <c r="P185" i="138"/>
  <c r="L185" i="138"/>
  <c r="O185" i="138" s="1"/>
  <c r="Y184" i="138"/>
  <c r="W184" i="138"/>
  <c r="V184" i="138"/>
  <c r="U184" i="138"/>
  <c r="T184" i="138"/>
  <c r="S184" i="138"/>
  <c r="R184" i="138"/>
  <c r="Q184" i="138"/>
  <c r="P184" i="138"/>
  <c r="L184" i="138"/>
  <c r="O184" i="138" s="1"/>
  <c r="Y183" i="138"/>
  <c r="W183" i="138"/>
  <c r="V183" i="138"/>
  <c r="U183" i="138"/>
  <c r="T183" i="138"/>
  <c r="S183" i="138"/>
  <c r="R183" i="138"/>
  <c r="Q183" i="138"/>
  <c r="P183" i="138"/>
  <c r="L183" i="138"/>
  <c r="O183" i="138" s="1"/>
  <c r="Y182" i="138"/>
  <c r="W182" i="138"/>
  <c r="V182" i="138"/>
  <c r="U182" i="138"/>
  <c r="T182" i="138"/>
  <c r="S182" i="138"/>
  <c r="R182" i="138"/>
  <c r="Q182" i="138"/>
  <c r="P182" i="138"/>
  <c r="L182" i="138"/>
  <c r="O182" i="138" s="1"/>
  <c r="Y181" i="138"/>
  <c r="W181" i="138"/>
  <c r="V181" i="138"/>
  <c r="U181" i="138"/>
  <c r="T181" i="138"/>
  <c r="S181" i="138"/>
  <c r="R181" i="138"/>
  <c r="Q181" i="138"/>
  <c r="P181" i="138"/>
  <c r="L181" i="138"/>
  <c r="O181" i="138" s="1"/>
  <c r="Y180" i="138"/>
  <c r="W180" i="138"/>
  <c r="V180" i="138"/>
  <c r="U180" i="138"/>
  <c r="T180" i="138"/>
  <c r="S180" i="138"/>
  <c r="R180" i="138"/>
  <c r="Q180" i="138"/>
  <c r="P180" i="138"/>
  <c r="L180" i="138"/>
  <c r="O180" i="138" s="1"/>
  <c r="Y179" i="138"/>
  <c r="W179" i="138"/>
  <c r="V179" i="138"/>
  <c r="U179" i="138"/>
  <c r="T179" i="138"/>
  <c r="S179" i="138"/>
  <c r="R179" i="138"/>
  <c r="Q179" i="138"/>
  <c r="P179" i="138"/>
  <c r="L179" i="138"/>
  <c r="O179" i="138" s="1"/>
  <c r="Y178" i="138"/>
  <c r="W178" i="138"/>
  <c r="V178" i="138"/>
  <c r="U178" i="138"/>
  <c r="T178" i="138"/>
  <c r="S178" i="138"/>
  <c r="R178" i="138"/>
  <c r="Q178" i="138"/>
  <c r="P178" i="138"/>
  <c r="L178" i="138"/>
  <c r="O178" i="138" s="1"/>
  <c r="Y177" i="138"/>
  <c r="W177" i="138"/>
  <c r="V177" i="138"/>
  <c r="U177" i="138"/>
  <c r="T177" i="138"/>
  <c r="S177" i="138"/>
  <c r="R177" i="138"/>
  <c r="Q177" i="138"/>
  <c r="P177" i="138"/>
  <c r="L177" i="138"/>
  <c r="O177" i="138" s="1"/>
  <c r="Y176" i="138"/>
  <c r="W176" i="138"/>
  <c r="V176" i="138"/>
  <c r="U176" i="138"/>
  <c r="T176" i="138"/>
  <c r="S176" i="138"/>
  <c r="R176" i="138"/>
  <c r="Q176" i="138"/>
  <c r="P176" i="138"/>
  <c r="L176" i="138"/>
  <c r="O176" i="138" s="1"/>
  <c r="Y175" i="138"/>
  <c r="W175" i="138"/>
  <c r="V175" i="138"/>
  <c r="U175" i="138"/>
  <c r="T175" i="138"/>
  <c r="S175" i="138"/>
  <c r="R175" i="138"/>
  <c r="Q175" i="138"/>
  <c r="P175" i="138"/>
  <c r="L175" i="138"/>
  <c r="O175" i="138" s="1"/>
  <c r="Y174" i="138"/>
  <c r="W174" i="138"/>
  <c r="V174" i="138"/>
  <c r="U174" i="138"/>
  <c r="T174" i="138"/>
  <c r="S174" i="138"/>
  <c r="R174" i="138"/>
  <c r="Q174" i="138"/>
  <c r="P174" i="138"/>
  <c r="L174" i="138"/>
  <c r="O174" i="138" s="1"/>
  <c r="Y173" i="138"/>
  <c r="W173" i="138"/>
  <c r="V173" i="138"/>
  <c r="U173" i="138"/>
  <c r="T173" i="138"/>
  <c r="S173" i="138"/>
  <c r="R173" i="138"/>
  <c r="Q173" i="138"/>
  <c r="P173" i="138"/>
  <c r="L173" i="138"/>
  <c r="O173" i="138" s="1"/>
  <c r="Y172" i="138"/>
  <c r="W172" i="138"/>
  <c r="V172" i="138"/>
  <c r="U172" i="138"/>
  <c r="T172" i="138"/>
  <c r="S172" i="138"/>
  <c r="R172" i="138"/>
  <c r="Q172" i="138"/>
  <c r="P172" i="138"/>
  <c r="L172" i="138"/>
  <c r="O172" i="138" s="1"/>
  <c r="Y171" i="138"/>
  <c r="W171" i="138"/>
  <c r="V171" i="138"/>
  <c r="U171" i="138"/>
  <c r="T171" i="138"/>
  <c r="S171" i="138"/>
  <c r="R171" i="138"/>
  <c r="Q171" i="138"/>
  <c r="P171" i="138"/>
  <c r="L171" i="138"/>
  <c r="O171" i="138" s="1"/>
  <c r="Y170" i="138"/>
  <c r="W170" i="138"/>
  <c r="V170" i="138"/>
  <c r="U170" i="138"/>
  <c r="T170" i="138"/>
  <c r="S170" i="138"/>
  <c r="R170" i="138"/>
  <c r="Q170" i="138"/>
  <c r="P170" i="138"/>
  <c r="L170" i="138"/>
  <c r="O170" i="138" s="1"/>
  <c r="Y169" i="138"/>
  <c r="W169" i="138"/>
  <c r="V169" i="138"/>
  <c r="U169" i="138"/>
  <c r="T169" i="138"/>
  <c r="S169" i="138"/>
  <c r="R169" i="138"/>
  <c r="Q169" i="138"/>
  <c r="P169" i="138"/>
  <c r="L169" i="138"/>
  <c r="O169" i="138" s="1"/>
  <c r="Y168" i="138"/>
  <c r="W168" i="138"/>
  <c r="V168" i="138"/>
  <c r="U168" i="138"/>
  <c r="T168" i="138"/>
  <c r="S168" i="138"/>
  <c r="R168" i="138"/>
  <c r="Q168" i="138"/>
  <c r="P168" i="138"/>
  <c r="L168" i="138"/>
  <c r="O168" i="138" s="1"/>
  <c r="Y167" i="138"/>
  <c r="W167" i="138"/>
  <c r="V167" i="138"/>
  <c r="U167" i="138"/>
  <c r="T167" i="138"/>
  <c r="S167" i="138"/>
  <c r="R167" i="138"/>
  <c r="Q167" i="138"/>
  <c r="P167" i="138"/>
  <c r="L167" i="138"/>
  <c r="O167" i="138" s="1"/>
  <c r="Y166" i="138"/>
  <c r="W166" i="138"/>
  <c r="V166" i="138"/>
  <c r="U166" i="138"/>
  <c r="T166" i="138"/>
  <c r="S166" i="138"/>
  <c r="R166" i="138"/>
  <c r="Q166" i="138"/>
  <c r="P166" i="138"/>
  <c r="L166" i="138"/>
  <c r="O166" i="138" s="1"/>
  <c r="Y165" i="138"/>
  <c r="W165" i="138"/>
  <c r="V165" i="138"/>
  <c r="U165" i="138"/>
  <c r="T165" i="138"/>
  <c r="S165" i="138"/>
  <c r="R165" i="138"/>
  <c r="Q165" i="138"/>
  <c r="P165" i="138"/>
  <c r="L165" i="138"/>
  <c r="O165" i="138" s="1"/>
  <c r="Y164" i="138"/>
  <c r="W164" i="138"/>
  <c r="V164" i="138"/>
  <c r="U164" i="138"/>
  <c r="T164" i="138"/>
  <c r="S164" i="138"/>
  <c r="R164" i="138"/>
  <c r="Q164" i="138"/>
  <c r="P164" i="138"/>
  <c r="L164" i="138"/>
  <c r="O164" i="138" s="1"/>
  <c r="Y163" i="138"/>
  <c r="W163" i="138"/>
  <c r="V163" i="138"/>
  <c r="U163" i="138"/>
  <c r="T163" i="138"/>
  <c r="S163" i="138"/>
  <c r="R163" i="138"/>
  <c r="Q163" i="138"/>
  <c r="P163" i="138"/>
  <c r="L163" i="138"/>
  <c r="O163" i="138" s="1"/>
  <c r="Y162" i="138"/>
  <c r="W162" i="138"/>
  <c r="V162" i="138"/>
  <c r="U162" i="138"/>
  <c r="T162" i="138"/>
  <c r="S162" i="138"/>
  <c r="R162" i="138"/>
  <c r="Q162" i="138"/>
  <c r="P162" i="138"/>
  <c r="L162" i="138"/>
  <c r="O162" i="138" s="1"/>
  <c r="Y161" i="138"/>
  <c r="W161" i="138"/>
  <c r="V161" i="138"/>
  <c r="U161" i="138"/>
  <c r="T161" i="138"/>
  <c r="S161" i="138"/>
  <c r="R161" i="138"/>
  <c r="Q161" i="138"/>
  <c r="P161" i="138"/>
  <c r="L161" i="138"/>
  <c r="O161" i="138" s="1"/>
  <c r="Y160" i="138"/>
  <c r="W160" i="138"/>
  <c r="V160" i="138"/>
  <c r="U160" i="138"/>
  <c r="T160" i="138"/>
  <c r="S160" i="138"/>
  <c r="R160" i="138"/>
  <c r="Q160" i="138"/>
  <c r="P160" i="138"/>
  <c r="L160" i="138"/>
  <c r="O160" i="138" s="1"/>
  <c r="Y159" i="138"/>
  <c r="W159" i="138"/>
  <c r="V159" i="138"/>
  <c r="U159" i="138"/>
  <c r="T159" i="138"/>
  <c r="S159" i="138"/>
  <c r="R159" i="138"/>
  <c r="Q159" i="138"/>
  <c r="P159" i="138"/>
  <c r="L159" i="138"/>
  <c r="O159" i="138" s="1"/>
  <c r="Y158" i="138"/>
  <c r="W158" i="138"/>
  <c r="V158" i="138"/>
  <c r="U158" i="138"/>
  <c r="T158" i="138"/>
  <c r="S158" i="138"/>
  <c r="R158" i="138"/>
  <c r="Q158" i="138"/>
  <c r="P158" i="138"/>
  <c r="L158" i="138"/>
  <c r="O158" i="138" s="1"/>
  <c r="Y157" i="138"/>
  <c r="W157" i="138"/>
  <c r="V157" i="138"/>
  <c r="U157" i="138"/>
  <c r="T157" i="138"/>
  <c r="S157" i="138"/>
  <c r="R157" i="138"/>
  <c r="Q157" i="138"/>
  <c r="P157" i="138"/>
  <c r="L157" i="138"/>
  <c r="O157" i="138" s="1"/>
  <c r="Y156" i="138"/>
  <c r="W156" i="138"/>
  <c r="V156" i="138"/>
  <c r="U156" i="138"/>
  <c r="T156" i="138"/>
  <c r="S156" i="138"/>
  <c r="R156" i="138"/>
  <c r="Q156" i="138"/>
  <c r="P156" i="138"/>
  <c r="L156" i="138"/>
  <c r="O156" i="138" s="1"/>
  <c r="Y155" i="138"/>
  <c r="W155" i="138"/>
  <c r="V155" i="138"/>
  <c r="U155" i="138"/>
  <c r="T155" i="138"/>
  <c r="S155" i="138"/>
  <c r="R155" i="138"/>
  <c r="Q155" i="138"/>
  <c r="P155" i="138"/>
  <c r="L155" i="138"/>
  <c r="O155" i="138" s="1"/>
  <c r="Y154" i="138"/>
  <c r="W154" i="138"/>
  <c r="V154" i="138"/>
  <c r="U154" i="138"/>
  <c r="T154" i="138"/>
  <c r="S154" i="138"/>
  <c r="R154" i="138"/>
  <c r="Q154" i="138"/>
  <c r="P154" i="138"/>
  <c r="L154" i="138"/>
  <c r="O154" i="138" s="1"/>
  <c r="Y153" i="138"/>
  <c r="W153" i="138"/>
  <c r="V153" i="138"/>
  <c r="U153" i="138"/>
  <c r="T153" i="138"/>
  <c r="S153" i="138"/>
  <c r="R153" i="138"/>
  <c r="Q153" i="138"/>
  <c r="P153" i="138"/>
  <c r="L153" i="138"/>
  <c r="O153" i="138" s="1"/>
  <c r="Y152" i="138"/>
  <c r="W152" i="138"/>
  <c r="V152" i="138"/>
  <c r="U152" i="138"/>
  <c r="T152" i="138"/>
  <c r="S152" i="138"/>
  <c r="R152" i="138"/>
  <c r="Q152" i="138"/>
  <c r="P152" i="138"/>
  <c r="L152" i="138"/>
  <c r="O152" i="138" s="1"/>
  <c r="Y151" i="138"/>
  <c r="W151" i="138"/>
  <c r="V151" i="138"/>
  <c r="U151" i="138"/>
  <c r="T151" i="138"/>
  <c r="S151" i="138"/>
  <c r="R151" i="138"/>
  <c r="Q151" i="138"/>
  <c r="P151" i="138"/>
  <c r="L151" i="138"/>
  <c r="O151" i="138" s="1"/>
  <c r="Y150" i="138"/>
  <c r="W150" i="138"/>
  <c r="V150" i="138"/>
  <c r="U150" i="138"/>
  <c r="T150" i="138"/>
  <c r="S150" i="138"/>
  <c r="R150" i="138"/>
  <c r="Q150" i="138"/>
  <c r="P150" i="138"/>
  <c r="L150" i="138"/>
  <c r="O150" i="138" s="1"/>
  <c r="Y149" i="138"/>
  <c r="W149" i="138"/>
  <c r="V149" i="138"/>
  <c r="U149" i="138"/>
  <c r="T149" i="138"/>
  <c r="S149" i="138"/>
  <c r="R149" i="138"/>
  <c r="Q149" i="138"/>
  <c r="P149" i="138"/>
  <c r="L149" i="138"/>
  <c r="O149" i="138" s="1"/>
  <c r="Y148" i="138"/>
  <c r="W148" i="138"/>
  <c r="V148" i="138"/>
  <c r="U148" i="138"/>
  <c r="T148" i="138"/>
  <c r="S148" i="138"/>
  <c r="R148" i="138"/>
  <c r="Q148" i="138"/>
  <c r="P148" i="138"/>
  <c r="L148" i="138"/>
  <c r="O148" i="138" s="1"/>
  <c r="Y147" i="138"/>
  <c r="W147" i="138"/>
  <c r="V147" i="138"/>
  <c r="U147" i="138"/>
  <c r="T147" i="138"/>
  <c r="S147" i="138"/>
  <c r="R147" i="138"/>
  <c r="Q147" i="138"/>
  <c r="P147" i="138"/>
  <c r="L147" i="138"/>
  <c r="O147" i="138" s="1"/>
  <c r="Y146" i="138"/>
  <c r="W146" i="138"/>
  <c r="V146" i="138"/>
  <c r="U146" i="138"/>
  <c r="T146" i="138"/>
  <c r="S146" i="138"/>
  <c r="R146" i="138"/>
  <c r="Q146" i="138"/>
  <c r="P146" i="138"/>
  <c r="L146" i="138"/>
  <c r="O146" i="138" s="1"/>
  <c r="Y145" i="138"/>
  <c r="W145" i="138"/>
  <c r="V145" i="138"/>
  <c r="U145" i="138"/>
  <c r="T145" i="138"/>
  <c r="S145" i="138"/>
  <c r="R145" i="138"/>
  <c r="Q145" i="138"/>
  <c r="P145" i="138"/>
  <c r="L145" i="138"/>
  <c r="O145" i="138" s="1"/>
  <c r="Y144" i="138"/>
  <c r="W144" i="138"/>
  <c r="V144" i="138"/>
  <c r="U144" i="138"/>
  <c r="T144" i="138"/>
  <c r="S144" i="138"/>
  <c r="R144" i="138"/>
  <c r="Q144" i="138"/>
  <c r="P144" i="138"/>
  <c r="L144" i="138"/>
  <c r="O144" i="138" s="1"/>
  <c r="Y143" i="138"/>
  <c r="W143" i="138"/>
  <c r="V143" i="138"/>
  <c r="U143" i="138"/>
  <c r="T143" i="138"/>
  <c r="S143" i="138"/>
  <c r="R143" i="138"/>
  <c r="Q143" i="138"/>
  <c r="P143" i="138"/>
  <c r="L143" i="138"/>
  <c r="O143" i="138" s="1"/>
  <c r="Y142" i="138"/>
  <c r="W142" i="138"/>
  <c r="V142" i="138"/>
  <c r="U142" i="138"/>
  <c r="T142" i="138"/>
  <c r="S142" i="138"/>
  <c r="R142" i="138"/>
  <c r="Q142" i="138"/>
  <c r="P142" i="138"/>
  <c r="L142" i="138"/>
  <c r="O142" i="138" s="1"/>
  <c r="Y141" i="138"/>
  <c r="W141" i="138"/>
  <c r="V141" i="138"/>
  <c r="U141" i="138"/>
  <c r="T141" i="138"/>
  <c r="S141" i="138"/>
  <c r="R141" i="138"/>
  <c r="Q141" i="138"/>
  <c r="P141" i="138"/>
  <c r="L141" i="138"/>
  <c r="O141" i="138" s="1"/>
  <c r="Y140" i="138"/>
  <c r="W140" i="138"/>
  <c r="V140" i="138"/>
  <c r="U140" i="138"/>
  <c r="T140" i="138"/>
  <c r="S140" i="138"/>
  <c r="R140" i="138"/>
  <c r="Q140" i="138"/>
  <c r="P140" i="138"/>
  <c r="L140" i="138"/>
  <c r="O140" i="138" s="1"/>
  <c r="Y139" i="138"/>
  <c r="W139" i="138"/>
  <c r="V139" i="138"/>
  <c r="U139" i="138"/>
  <c r="T139" i="138"/>
  <c r="S139" i="138"/>
  <c r="R139" i="138"/>
  <c r="Q139" i="138"/>
  <c r="P139" i="138"/>
  <c r="L139" i="138"/>
  <c r="O139" i="138" s="1"/>
  <c r="Y138" i="138"/>
  <c r="W138" i="138"/>
  <c r="V138" i="138"/>
  <c r="U138" i="138"/>
  <c r="T138" i="138"/>
  <c r="S138" i="138"/>
  <c r="R138" i="138"/>
  <c r="Q138" i="138"/>
  <c r="P138" i="138"/>
  <c r="L138" i="138"/>
  <c r="O138" i="138" s="1"/>
  <c r="Y137" i="138"/>
  <c r="W137" i="138"/>
  <c r="V137" i="138"/>
  <c r="U137" i="138"/>
  <c r="T137" i="138"/>
  <c r="S137" i="138"/>
  <c r="R137" i="138"/>
  <c r="Q137" i="138"/>
  <c r="P137" i="138"/>
  <c r="L137" i="138"/>
  <c r="O137" i="138" s="1"/>
  <c r="Y136" i="138"/>
  <c r="W136" i="138"/>
  <c r="V136" i="138"/>
  <c r="U136" i="138"/>
  <c r="T136" i="138"/>
  <c r="S136" i="138"/>
  <c r="R136" i="138"/>
  <c r="Q136" i="138"/>
  <c r="P136" i="138"/>
  <c r="L136" i="138"/>
  <c r="O136" i="138" s="1"/>
  <c r="Y135" i="138"/>
  <c r="W135" i="138"/>
  <c r="V135" i="138"/>
  <c r="U135" i="138"/>
  <c r="T135" i="138"/>
  <c r="S135" i="138"/>
  <c r="R135" i="138"/>
  <c r="Q135" i="138"/>
  <c r="P135" i="138"/>
  <c r="L135" i="138"/>
  <c r="O135" i="138" s="1"/>
  <c r="Y134" i="138"/>
  <c r="W134" i="138"/>
  <c r="V134" i="138"/>
  <c r="U134" i="138"/>
  <c r="T134" i="138"/>
  <c r="S134" i="138"/>
  <c r="R134" i="138"/>
  <c r="Q134" i="138"/>
  <c r="P134" i="138"/>
  <c r="L134" i="138"/>
  <c r="O134" i="138" s="1"/>
  <c r="Y133" i="138"/>
  <c r="W133" i="138"/>
  <c r="V133" i="138"/>
  <c r="U133" i="138"/>
  <c r="T133" i="138"/>
  <c r="S133" i="138"/>
  <c r="R133" i="138"/>
  <c r="Q133" i="138"/>
  <c r="P133" i="138"/>
  <c r="L133" i="138"/>
  <c r="O133" i="138" s="1"/>
  <c r="Y132" i="138"/>
  <c r="W132" i="138"/>
  <c r="V132" i="138"/>
  <c r="U132" i="138"/>
  <c r="T132" i="138"/>
  <c r="S132" i="138"/>
  <c r="R132" i="138"/>
  <c r="Q132" i="138"/>
  <c r="P132" i="138"/>
  <c r="L132" i="138"/>
  <c r="O132" i="138" s="1"/>
  <c r="Y131" i="138"/>
  <c r="W131" i="138"/>
  <c r="V131" i="138"/>
  <c r="U131" i="138"/>
  <c r="T131" i="138"/>
  <c r="S131" i="138"/>
  <c r="R131" i="138"/>
  <c r="Q131" i="138"/>
  <c r="P131" i="138"/>
  <c r="L131" i="138"/>
  <c r="O131" i="138" s="1"/>
  <c r="Y130" i="138"/>
  <c r="W130" i="138"/>
  <c r="V130" i="138"/>
  <c r="U130" i="138"/>
  <c r="T130" i="138"/>
  <c r="S130" i="138"/>
  <c r="R130" i="138"/>
  <c r="Q130" i="138"/>
  <c r="P130" i="138"/>
  <c r="L130" i="138"/>
  <c r="O130" i="138" s="1"/>
  <c r="Y129" i="138"/>
  <c r="W129" i="138"/>
  <c r="V129" i="138"/>
  <c r="U129" i="138"/>
  <c r="T129" i="138"/>
  <c r="S129" i="138"/>
  <c r="R129" i="138"/>
  <c r="Q129" i="138"/>
  <c r="P129" i="138"/>
  <c r="L129" i="138"/>
  <c r="O129" i="138" s="1"/>
  <c r="Y128" i="138"/>
  <c r="W128" i="138"/>
  <c r="V128" i="138"/>
  <c r="U128" i="138"/>
  <c r="T128" i="138"/>
  <c r="S128" i="138"/>
  <c r="R128" i="138"/>
  <c r="Q128" i="138"/>
  <c r="P128" i="138"/>
  <c r="L128" i="138"/>
  <c r="O128" i="138" s="1"/>
  <c r="Y127" i="138"/>
  <c r="W127" i="138"/>
  <c r="V127" i="138"/>
  <c r="U127" i="138"/>
  <c r="T127" i="138"/>
  <c r="S127" i="138"/>
  <c r="R127" i="138"/>
  <c r="Q127" i="138"/>
  <c r="P127" i="138"/>
  <c r="L127" i="138"/>
  <c r="O127" i="138" s="1"/>
  <c r="Y126" i="138"/>
  <c r="W126" i="138"/>
  <c r="V126" i="138"/>
  <c r="U126" i="138"/>
  <c r="T126" i="138"/>
  <c r="S126" i="138"/>
  <c r="R126" i="138"/>
  <c r="Q126" i="138"/>
  <c r="P126" i="138"/>
  <c r="L126" i="138"/>
  <c r="O126" i="138" s="1"/>
  <c r="Y125" i="138"/>
  <c r="W125" i="138"/>
  <c r="V125" i="138"/>
  <c r="U125" i="138"/>
  <c r="T125" i="138"/>
  <c r="S125" i="138"/>
  <c r="R125" i="138"/>
  <c r="Q125" i="138"/>
  <c r="P125" i="138"/>
  <c r="L125" i="138"/>
  <c r="O125" i="138" s="1"/>
  <c r="Y124" i="138"/>
  <c r="W124" i="138"/>
  <c r="V124" i="138"/>
  <c r="U124" i="138"/>
  <c r="T124" i="138"/>
  <c r="S124" i="138"/>
  <c r="R124" i="138"/>
  <c r="Q124" i="138"/>
  <c r="P124" i="138"/>
  <c r="L124" i="138"/>
  <c r="O124" i="138" s="1"/>
  <c r="Y123" i="138"/>
  <c r="W123" i="138"/>
  <c r="V123" i="138"/>
  <c r="U123" i="138"/>
  <c r="T123" i="138"/>
  <c r="S123" i="138"/>
  <c r="R123" i="138"/>
  <c r="Q123" i="138"/>
  <c r="P123" i="138"/>
  <c r="L123" i="138"/>
  <c r="O123" i="138" s="1"/>
  <c r="Y122" i="138"/>
  <c r="W122" i="138"/>
  <c r="V122" i="138"/>
  <c r="U122" i="138"/>
  <c r="T122" i="138"/>
  <c r="S122" i="138"/>
  <c r="R122" i="138"/>
  <c r="Q122" i="138"/>
  <c r="P122" i="138"/>
  <c r="L122" i="138"/>
  <c r="O122" i="138" s="1"/>
  <c r="Y121" i="138"/>
  <c r="W121" i="138"/>
  <c r="V121" i="138"/>
  <c r="U121" i="138"/>
  <c r="T121" i="138"/>
  <c r="S121" i="138"/>
  <c r="R121" i="138"/>
  <c r="Q121" i="138"/>
  <c r="P121" i="138"/>
  <c r="L121" i="138"/>
  <c r="O121" i="138" s="1"/>
  <c r="Y120" i="138"/>
  <c r="W120" i="138"/>
  <c r="V120" i="138"/>
  <c r="U120" i="138"/>
  <c r="T120" i="138"/>
  <c r="S120" i="138"/>
  <c r="R120" i="138"/>
  <c r="Q120" i="138"/>
  <c r="P120" i="138"/>
  <c r="L120" i="138"/>
  <c r="O120" i="138" s="1"/>
  <c r="Y119" i="138"/>
  <c r="W119" i="138"/>
  <c r="V119" i="138"/>
  <c r="U119" i="138"/>
  <c r="T119" i="138"/>
  <c r="S119" i="138"/>
  <c r="R119" i="138"/>
  <c r="Q119" i="138"/>
  <c r="P119" i="138"/>
  <c r="L119" i="138"/>
  <c r="O119" i="138" s="1"/>
  <c r="Y118" i="138"/>
  <c r="W118" i="138"/>
  <c r="V118" i="138"/>
  <c r="U118" i="138"/>
  <c r="T118" i="138"/>
  <c r="S118" i="138"/>
  <c r="R118" i="138"/>
  <c r="Q118" i="138"/>
  <c r="P118" i="138"/>
  <c r="L118" i="138"/>
  <c r="O118" i="138" s="1"/>
  <c r="Y117" i="138"/>
  <c r="W117" i="138"/>
  <c r="V117" i="138"/>
  <c r="U117" i="138"/>
  <c r="T117" i="138"/>
  <c r="S117" i="138"/>
  <c r="R117" i="138"/>
  <c r="Q117" i="138"/>
  <c r="P117" i="138"/>
  <c r="L117" i="138"/>
  <c r="O117" i="138" s="1"/>
  <c r="Y116" i="138"/>
  <c r="W116" i="138"/>
  <c r="V116" i="138"/>
  <c r="U116" i="138"/>
  <c r="T116" i="138"/>
  <c r="S116" i="138"/>
  <c r="R116" i="138"/>
  <c r="Q116" i="138"/>
  <c r="P116" i="138"/>
  <c r="L116" i="138"/>
  <c r="O116" i="138" s="1"/>
  <c r="Y115" i="138"/>
  <c r="W115" i="138"/>
  <c r="V115" i="138"/>
  <c r="U115" i="138"/>
  <c r="T115" i="138"/>
  <c r="S115" i="138"/>
  <c r="R115" i="138"/>
  <c r="Q115" i="138"/>
  <c r="P115" i="138"/>
  <c r="L115" i="138"/>
  <c r="O115" i="138" s="1"/>
  <c r="Y114" i="138"/>
  <c r="W114" i="138"/>
  <c r="V114" i="138"/>
  <c r="U114" i="138"/>
  <c r="T114" i="138"/>
  <c r="S114" i="138"/>
  <c r="R114" i="138"/>
  <c r="Q114" i="138"/>
  <c r="P114" i="138"/>
  <c r="L114" i="138"/>
  <c r="O114" i="138" s="1"/>
  <c r="Y113" i="138"/>
  <c r="W113" i="138"/>
  <c r="V113" i="138"/>
  <c r="U113" i="138"/>
  <c r="T113" i="138"/>
  <c r="S113" i="138"/>
  <c r="R113" i="138"/>
  <c r="Q113" i="138"/>
  <c r="P113" i="138"/>
  <c r="L113" i="138"/>
  <c r="O113" i="138" s="1"/>
  <c r="Y112" i="138"/>
  <c r="W112" i="138"/>
  <c r="V112" i="138"/>
  <c r="U112" i="138"/>
  <c r="T112" i="138"/>
  <c r="S112" i="138"/>
  <c r="R112" i="138"/>
  <c r="Q112" i="138"/>
  <c r="P112" i="138"/>
  <c r="L112" i="138"/>
  <c r="O112" i="138" s="1"/>
  <c r="Y111" i="138"/>
  <c r="W111" i="138"/>
  <c r="V111" i="138"/>
  <c r="U111" i="138"/>
  <c r="T111" i="138"/>
  <c r="S111" i="138"/>
  <c r="R111" i="138"/>
  <c r="Q111" i="138"/>
  <c r="P111" i="138"/>
  <c r="L111" i="138"/>
  <c r="O111" i="138" s="1"/>
  <c r="Y110" i="138"/>
  <c r="W110" i="138"/>
  <c r="V110" i="138"/>
  <c r="U110" i="138"/>
  <c r="T110" i="138"/>
  <c r="S110" i="138"/>
  <c r="R110" i="138"/>
  <c r="Q110" i="138"/>
  <c r="P110" i="138"/>
  <c r="L110" i="138"/>
  <c r="O110" i="138" s="1"/>
  <c r="Y109" i="138"/>
  <c r="W109" i="138"/>
  <c r="V109" i="138"/>
  <c r="U109" i="138"/>
  <c r="T109" i="138"/>
  <c r="S109" i="138"/>
  <c r="R109" i="138"/>
  <c r="Q109" i="138"/>
  <c r="P109" i="138"/>
  <c r="L109" i="138"/>
  <c r="O109" i="138" s="1"/>
  <c r="Y108" i="138"/>
  <c r="W108" i="138"/>
  <c r="V108" i="138"/>
  <c r="U108" i="138"/>
  <c r="T108" i="138"/>
  <c r="S108" i="138"/>
  <c r="R108" i="138"/>
  <c r="Q108" i="138"/>
  <c r="P108" i="138"/>
  <c r="L108" i="138"/>
  <c r="O108" i="138" s="1"/>
  <c r="Y107" i="138"/>
  <c r="W107" i="138"/>
  <c r="V107" i="138"/>
  <c r="U107" i="138"/>
  <c r="T107" i="138"/>
  <c r="S107" i="138"/>
  <c r="R107" i="138"/>
  <c r="Q107" i="138"/>
  <c r="P107" i="138"/>
  <c r="L107" i="138"/>
  <c r="O107" i="138" s="1"/>
  <c r="Y106" i="138"/>
  <c r="W106" i="138"/>
  <c r="V106" i="138"/>
  <c r="U106" i="138"/>
  <c r="T106" i="138"/>
  <c r="S106" i="138"/>
  <c r="R106" i="138"/>
  <c r="Q106" i="138"/>
  <c r="P106" i="138"/>
  <c r="L106" i="138"/>
  <c r="O106" i="138" s="1"/>
  <c r="Y105" i="138"/>
  <c r="W105" i="138"/>
  <c r="V105" i="138"/>
  <c r="U105" i="138"/>
  <c r="T105" i="138"/>
  <c r="S105" i="138"/>
  <c r="R105" i="138"/>
  <c r="Q105" i="138"/>
  <c r="P105" i="138"/>
  <c r="L105" i="138"/>
  <c r="O105" i="138" s="1"/>
  <c r="Y104" i="138"/>
  <c r="W104" i="138"/>
  <c r="V104" i="138"/>
  <c r="U104" i="138"/>
  <c r="T104" i="138"/>
  <c r="S104" i="138"/>
  <c r="R104" i="138"/>
  <c r="Q104" i="138"/>
  <c r="P104" i="138"/>
  <c r="L104" i="138"/>
  <c r="O104" i="138" s="1"/>
  <c r="Y103" i="138"/>
  <c r="W103" i="138"/>
  <c r="V103" i="138"/>
  <c r="U103" i="138"/>
  <c r="T103" i="138"/>
  <c r="S103" i="138"/>
  <c r="R103" i="138"/>
  <c r="Q103" i="138"/>
  <c r="P103" i="138"/>
  <c r="L103" i="138"/>
  <c r="O103" i="138" s="1"/>
  <c r="Y102" i="138"/>
  <c r="W102" i="138"/>
  <c r="V102" i="138"/>
  <c r="U102" i="138"/>
  <c r="T102" i="138"/>
  <c r="S102" i="138"/>
  <c r="R102" i="138"/>
  <c r="Q102" i="138"/>
  <c r="P102" i="138"/>
  <c r="L102" i="138"/>
  <c r="O102" i="138" s="1"/>
  <c r="Y101" i="138"/>
  <c r="W101" i="138"/>
  <c r="V101" i="138"/>
  <c r="U101" i="138"/>
  <c r="T101" i="138"/>
  <c r="S101" i="138"/>
  <c r="R101" i="138"/>
  <c r="Q101" i="138"/>
  <c r="P101" i="138"/>
  <c r="L101" i="138"/>
  <c r="O101" i="138" s="1"/>
  <c r="Y100" i="138"/>
  <c r="W100" i="138"/>
  <c r="V100" i="138"/>
  <c r="U100" i="138"/>
  <c r="T100" i="138"/>
  <c r="S100" i="138"/>
  <c r="R100" i="138"/>
  <c r="Q100" i="138"/>
  <c r="P100" i="138"/>
  <c r="L100" i="138"/>
  <c r="O100" i="138" s="1"/>
  <c r="Y99" i="138"/>
  <c r="W99" i="138"/>
  <c r="V99" i="138"/>
  <c r="U99" i="138"/>
  <c r="T99" i="138"/>
  <c r="S99" i="138"/>
  <c r="R99" i="138"/>
  <c r="Q99" i="138"/>
  <c r="P99" i="138"/>
  <c r="L99" i="138"/>
  <c r="O99" i="138" s="1"/>
  <c r="Y98" i="138"/>
  <c r="W98" i="138"/>
  <c r="V98" i="138"/>
  <c r="U98" i="138"/>
  <c r="T98" i="138"/>
  <c r="S98" i="138"/>
  <c r="R98" i="138"/>
  <c r="Q98" i="138"/>
  <c r="P98" i="138"/>
  <c r="L98" i="138"/>
  <c r="O98" i="138" s="1"/>
  <c r="Y97" i="138"/>
  <c r="W97" i="138"/>
  <c r="V97" i="138"/>
  <c r="U97" i="138"/>
  <c r="T97" i="138"/>
  <c r="S97" i="138"/>
  <c r="R97" i="138"/>
  <c r="Q97" i="138"/>
  <c r="P97" i="138"/>
  <c r="L97" i="138"/>
  <c r="O97" i="138" s="1"/>
  <c r="Y96" i="138"/>
  <c r="W96" i="138"/>
  <c r="V96" i="138"/>
  <c r="U96" i="138"/>
  <c r="T96" i="138"/>
  <c r="S96" i="138"/>
  <c r="R96" i="138"/>
  <c r="Q96" i="138"/>
  <c r="P96" i="138"/>
  <c r="L96" i="138"/>
  <c r="O96" i="138" s="1"/>
  <c r="Y95" i="138"/>
  <c r="W95" i="138"/>
  <c r="V95" i="138"/>
  <c r="U95" i="138"/>
  <c r="T95" i="138"/>
  <c r="S95" i="138"/>
  <c r="R95" i="138"/>
  <c r="Q95" i="138"/>
  <c r="P95" i="138"/>
  <c r="L95" i="138"/>
  <c r="O95" i="138" s="1"/>
  <c r="Y94" i="138"/>
  <c r="W94" i="138"/>
  <c r="V94" i="138"/>
  <c r="U94" i="138"/>
  <c r="T94" i="138"/>
  <c r="S94" i="138"/>
  <c r="R94" i="138"/>
  <c r="Q94" i="138"/>
  <c r="P94" i="138"/>
  <c r="L94" i="138"/>
  <c r="O94" i="138" s="1"/>
  <c r="Y93" i="138"/>
  <c r="W93" i="138"/>
  <c r="V93" i="138"/>
  <c r="U93" i="138"/>
  <c r="T93" i="138"/>
  <c r="S93" i="138"/>
  <c r="R93" i="138"/>
  <c r="Q93" i="138"/>
  <c r="P93" i="138"/>
  <c r="L93" i="138"/>
  <c r="O93" i="138" s="1"/>
  <c r="Y92" i="138"/>
  <c r="W92" i="138"/>
  <c r="V92" i="138"/>
  <c r="U92" i="138"/>
  <c r="T92" i="138"/>
  <c r="S92" i="138"/>
  <c r="R92" i="138"/>
  <c r="Q92" i="138"/>
  <c r="P92" i="138"/>
  <c r="L92" i="138"/>
  <c r="O92" i="138" s="1"/>
  <c r="Y91" i="138"/>
  <c r="W91" i="138"/>
  <c r="V91" i="138"/>
  <c r="U91" i="138"/>
  <c r="T91" i="138"/>
  <c r="S91" i="138"/>
  <c r="R91" i="138"/>
  <c r="Q91" i="138"/>
  <c r="P91" i="138"/>
  <c r="L91" i="138"/>
  <c r="O91" i="138" s="1"/>
  <c r="Y90" i="138"/>
  <c r="W90" i="138"/>
  <c r="V90" i="138"/>
  <c r="U90" i="138"/>
  <c r="T90" i="138"/>
  <c r="S90" i="138"/>
  <c r="R90" i="138"/>
  <c r="Q90" i="138"/>
  <c r="P90" i="138"/>
  <c r="L90" i="138"/>
  <c r="O90" i="138" s="1"/>
  <c r="Y89" i="138"/>
  <c r="W89" i="138"/>
  <c r="V89" i="138"/>
  <c r="U89" i="138"/>
  <c r="T89" i="138"/>
  <c r="S89" i="138"/>
  <c r="R89" i="138"/>
  <c r="Q89" i="138"/>
  <c r="P89" i="138"/>
  <c r="L89" i="138"/>
  <c r="O89" i="138" s="1"/>
  <c r="Y88" i="138"/>
  <c r="W88" i="138"/>
  <c r="V88" i="138"/>
  <c r="U88" i="138"/>
  <c r="T88" i="138"/>
  <c r="S88" i="138"/>
  <c r="R88" i="138"/>
  <c r="Q88" i="138"/>
  <c r="P88" i="138"/>
  <c r="L88" i="138"/>
  <c r="O88" i="138" s="1"/>
  <c r="Y87" i="138"/>
  <c r="W87" i="138"/>
  <c r="V87" i="138"/>
  <c r="U87" i="138"/>
  <c r="T87" i="138"/>
  <c r="S87" i="138"/>
  <c r="R87" i="138"/>
  <c r="Q87" i="138"/>
  <c r="P87" i="138"/>
  <c r="L87" i="138"/>
  <c r="O87" i="138" s="1"/>
  <c r="Y86" i="138"/>
  <c r="W86" i="138"/>
  <c r="V86" i="138"/>
  <c r="U86" i="138"/>
  <c r="T86" i="138"/>
  <c r="S86" i="138"/>
  <c r="R86" i="138"/>
  <c r="Q86" i="138"/>
  <c r="P86" i="138"/>
  <c r="L86" i="138"/>
  <c r="O86" i="138" s="1"/>
  <c r="Y85" i="138"/>
  <c r="W85" i="138"/>
  <c r="V85" i="138"/>
  <c r="U85" i="138"/>
  <c r="T85" i="138"/>
  <c r="S85" i="138"/>
  <c r="R85" i="138"/>
  <c r="Q85" i="138"/>
  <c r="P85" i="138"/>
  <c r="L85" i="138"/>
  <c r="O85" i="138" s="1"/>
  <c r="Y84" i="138"/>
  <c r="W84" i="138"/>
  <c r="V84" i="138"/>
  <c r="U84" i="138"/>
  <c r="T84" i="138"/>
  <c r="S84" i="138"/>
  <c r="R84" i="138"/>
  <c r="Q84" i="138"/>
  <c r="P84" i="138"/>
  <c r="L84" i="138"/>
  <c r="O84" i="138" s="1"/>
  <c r="Y83" i="138"/>
  <c r="W83" i="138"/>
  <c r="V83" i="138"/>
  <c r="U83" i="138"/>
  <c r="T83" i="138"/>
  <c r="S83" i="138"/>
  <c r="R83" i="138"/>
  <c r="Q83" i="138"/>
  <c r="P83" i="138"/>
  <c r="L83" i="138"/>
  <c r="O83" i="138" s="1"/>
  <c r="Y82" i="138"/>
  <c r="W82" i="138"/>
  <c r="V82" i="138"/>
  <c r="U82" i="138"/>
  <c r="T82" i="138"/>
  <c r="S82" i="138"/>
  <c r="R82" i="138"/>
  <c r="Q82" i="138"/>
  <c r="P82" i="138"/>
  <c r="L82" i="138"/>
  <c r="O82" i="138" s="1"/>
  <c r="Y81" i="138"/>
  <c r="W81" i="138"/>
  <c r="V81" i="138"/>
  <c r="U81" i="138"/>
  <c r="T81" i="138"/>
  <c r="S81" i="138"/>
  <c r="R81" i="138"/>
  <c r="Q81" i="138"/>
  <c r="P81" i="138"/>
  <c r="L81" i="138"/>
  <c r="O81" i="138" s="1"/>
  <c r="Y80" i="138"/>
  <c r="W80" i="138"/>
  <c r="V80" i="138"/>
  <c r="U80" i="138"/>
  <c r="T80" i="138"/>
  <c r="S80" i="138"/>
  <c r="R80" i="138"/>
  <c r="Q80" i="138"/>
  <c r="P80" i="138"/>
  <c r="L80" i="138"/>
  <c r="O80" i="138" s="1"/>
  <c r="Y79" i="138"/>
  <c r="W79" i="138"/>
  <c r="V79" i="138"/>
  <c r="U79" i="138"/>
  <c r="T79" i="138"/>
  <c r="S79" i="138"/>
  <c r="R79" i="138"/>
  <c r="Q79" i="138"/>
  <c r="P79" i="138"/>
  <c r="L79" i="138"/>
  <c r="O79" i="138" s="1"/>
  <c r="Y78" i="138"/>
  <c r="W78" i="138"/>
  <c r="V78" i="138"/>
  <c r="U78" i="138"/>
  <c r="T78" i="138"/>
  <c r="S78" i="138"/>
  <c r="R78" i="138"/>
  <c r="Q78" i="138"/>
  <c r="P78" i="138"/>
  <c r="L78" i="138"/>
  <c r="O78" i="138" s="1"/>
  <c r="Y77" i="138"/>
  <c r="W77" i="138"/>
  <c r="V77" i="138"/>
  <c r="U77" i="138"/>
  <c r="T77" i="138"/>
  <c r="S77" i="138"/>
  <c r="R77" i="138"/>
  <c r="Q77" i="138"/>
  <c r="P77" i="138"/>
  <c r="L77" i="138"/>
  <c r="O77" i="138" s="1"/>
  <c r="Y76" i="138"/>
  <c r="W76" i="138"/>
  <c r="V76" i="138"/>
  <c r="U76" i="138"/>
  <c r="T76" i="138"/>
  <c r="S76" i="138"/>
  <c r="R76" i="138"/>
  <c r="Q76" i="138"/>
  <c r="P76" i="138"/>
  <c r="L76" i="138"/>
  <c r="O76" i="138" s="1"/>
  <c r="Y75" i="138"/>
  <c r="W75" i="138"/>
  <c r="V75" i="138"/>
  <c r="U75" i="138"/>
  <c r="T75" i="138"/>
  <c r="S75" i="138"/>
  <c r="R75" i="138"/>
  <c r="Q75" i="138"/>
  <c r="P75" i="138"/>
  <c r="L75" i="138"/>
  <c r="O75" i="138" s="1"/>
  <c r="Y74" i="138"/>
  <c r="W74" i="138"/>
  <c r="V74" i="138"/>
  <c r="U74" i="138"/>
  <c r="T74" i="138"/>
  <c r="S74" i="138"/>
  <c r="R74" i="138"/>
  <c r="Q74" i="138"/>
  <c r="P74" i="138"/>
  <c r="L74" i="138"/>
  <c r="O74" i="138" s="1"/>
  <c r="Y73" i="138"/>
  <c r="W73" i="138"/>
  <c r="V73" i="138"/>
  <c r="U73" i="138"/>
  <c r="T73" i="138"/>
  <c r="S73" i="138"/>
  <c r="R73" i="138"/>
  <c r="Q73" i="138"/>
  <c r="P73" i="138"/>
  <c r="L73" i="138"/>
  <c r="O73" i="138" s="1"/>
  <c r="Y72" i="138"/>
  <c r="W72" i="138"/>
  <c r="V72" i="138"/>
  <c r="U72" i="138"/>
  <c r="T72" i="138"/>
  <c r="S72" i="138"/>
  <c r="R72" i="138"/>
  <c r="Q72" i="138"/>
  <c r="P72" i="138"/>
  <c r="L72" i="138"/>
  <c r="O72" i="138" s="1"/>
  <c r="Y71" i="138"/>
  <c r="W71" i="138"/>
  <c r="V71" i="138"/>
  <c r="U71" i="138"/>
  <c r="T71" i="138"/>
  <c r="S71" i="138"/>
  <c r="R71" i="138"/>
  <c r="Q71" i="138"/>
  <c r="P71" i="138"/>
  <c r="L71" i="138"/>
  <c r="O71" i="138" s="1"/>
  <c r="Y70" i="138"/>
  <c r="W70" i="138"/>
  <c r="V70" i="138"/>
  <c r="U70" i="138"/>
  <c r="T70" i="138"/>
  <c r="S70" i="138"/>
  <c r="R70" i="138"/>
  <c r="Q70" i="138"/>
  <c r="P70" i="138"/>
  <c r="L70" i="138"/>
  <c r="O70" i="138" s="1"/>
  <c r="Y69" i="138"/>
  <c r="W69" i="138"/>
  <c r="V69" i="138"/>
  <c r="U69" i="138"/>
  <c r="T69" i="138"/>
  <c r="S69" i="138"/>
  <c r="R69" i="138"/>
  <c r="Q69" i="138"/>
  <c r="P69" i="138"/>
  <c r="L69" i="138"/>
  <c r="O69" i="138" s="1"/>
  <c r="Y68" i="138"/>
  <c r="W68" i="138"/>
  <c r="V68" i="138"/>
  <c r="U68" i="138"/>
  <c r="T68" i="138"/>
  <c r="S68" i="138"/>
  <c r="R68" i="138"/>
  <c r="Q68" i="138"/>
  <c r="P68" i="138"/>
  <c r="L68" i="138"/>
  <c r="O68" i="138" s="1"/>
  <c r="Y67" i="138"/>
  <c r="W67" i="138"/>
  <c r="V67" i="138"/>
  <c r="U67" i="138"/>
  <c r="T67" i="138"/>
  <c r="S67" i="138"/>
  <c r="R67" i="138"/>
  <c r="Q67" i="138"/>
  <c r="P67" i="138"/>
  <c r="L67" i="138"/>
  <c r="O67" i="138" s="1"/>
  <c r="Y66" i="138"/>
  <c r="W66" i="138"/>
  <c r="V66" i="138"/>
  <c r="U66" i="138"/>
  <c r="T66" i="138"/>
  <c r="S66" i="138"/>
  <c r="R66" i="138"/>
  <c r="Q66" i="138"/>
  <c r="P66" i="138"/>
  <c r="L66" i="138"/>
  <c r="O66" i="138" s="1"/>
  <c r="Y65" i="138"/>
  <c r="W65" i="138"/>
  <c r="V65" i="138"/>
  <c r="U65" i="138"/>
  <c r="T65" i="138"/>
  <c r="S65" i="138"/>
  <c r="R65" i="138"/>
  <c r="Q65" i="138"/>
  <c r="P65" i="138"/>
  <c r="L65" i="138"/>
  <c r="O65" i="138" s="1"/>
  <c r="Y64" i="138"/>
  <c r="W64" i="138"/>
  <c r="V64" i="138"/>
  <c r="U64" i="138"/>
  <c r="T64" i="138"/>
  <c r="S64" i="138"/>
  <c r="R64" i="138"/>
  <c r="Q64" i="138"/>
  <c r="P64" i="138"/>
  <c r="L64" i="138"/>
  <c r="O64" i="138" s="1"/>
  <c r="Y63" i="138"/>
  <c r="W63" i="138"/>
  <c r="V63" i="138"/>
  <c r="U63" i="138"/>
  <c r="T63" i="138"/>
  <c r="S63" i="138"/>
  <c r="R63" i="138"/>
  <c r="Q63" i="138"/>
  <c r="P63" i="138"/>
  <c r="L63" i="138"/>
  <c r="O63" i="138" s="1"/>
  <c r="Y62" i="138"/>
  <c r="W62" i="138"/>
  <c r="V62" i="138"/>
  <c r="U62" i="138"/>
  <c r="T62" i="138"/>
  <c r="S62" i="138"/>
  <c r="R62" i="138"/>
  <c r="Q62" i="138"/>
  <c r="P62" i="138"/>
  <c r="L62" i="138"/>
  <c r="O62" i="138" s="1"/>
  <c r="Y61" i="138"/>
  <c r="W61" i="138"/>
  <c r="V61" i="138"/>
  <c r="U61" i="138"/>
  <c r="T61" i="138"/>
  <c r="S61" i="138"/>
  <c r="R61" i="138"/>
  <c r="Q61" i="138"/>
  <c r="P61" i="138"/>
  <c r="L61" i="138"/>
  <c r="O61" i="138" s="1"/>
  <c r="Y60" i="138"/>
  <c r="W60" i="138"/>
  <c r="V60" i="138"/>
  <c r="U60" i="138"/>
  <c r="T60" i="138"/>
  <c r="S60" i="138"/>
  <c r="R60" i="138"/>
  <c r="Q60" i="138"/>
  <c r="P60" i="138"/>
  <c r="L60" i="138"/>
  <c r="O60" i="138" s="1"/>
  <c r="Y59" i="138"/>
  <c r="W59" i="138"/>
  <c r="V59" i="138"/>
  <c r="U59" i="138"/>
  <c r="T59" i="138"/>
  <c r="S59" i="138"/>
  <c r="R59" i="138"/>
  <c r="Q59" i="138"/>
  <c r="P59" i="138"/>
  <c r="L59" i="138"/>
  <c r="O59" i="138" s="1"/>
  <c r="Y58" i="138"/>
  <c r="W58" i="138"/>
  <c r="V58" i="138"/>
  <c r="U58" i="138"/>
  <c r="T58" i="138"/>
  <c r="S58" i="138"/>
  <c r="R58" i="138"/>
  <c r="Q58" i="138"/>
  <c r="P58" i="138"/>
  <c r="L58" i="138"/>
  <c r="O58" i="138" s="1"/>
  <c r="Y57" i="138"/>
  <c r="W57" i="138"/>
  <c r="V57" i="138"/>
  <c r="U57" i="138"/>
  <c r="T57" i="138"/>
  <c r="S57" i="138"/>
  <c r="R57" i="138"/>
  <c r="Q57" i="138"/>
  <c r="P57" i="138"/>
  <c r="L57" i="138"/>
  <c r="O57" i="138" s="1"/>
  <c r="Y56" i="138"/>
  <c r="W56" i="138"/>
  <c r="V56" i="138"/>
  <c r="U56" i="138"/>
  <c r="T56" i="138"/>
  <c r="S56" i="138"/>
  <c r="R56" i="138"/>
  <c r="Q56" i="138"/>
  <c r="P56" i="138"/>
  <c r="L56" i="138"/>
  <c r="O56" i="138" s="1"/>
  <c r="Y55" i="138"/>
  <c r="W55" i="138"/>
  <c r="V55" i="138"/>
  <c r="U55" i="138"/>
  <c r="T55" i="138"/>
  <c r="S55" i="138"/>
  <c r="R55" i="138"/>
  <c r="Q55" i="138"/>
  <c r="P55" i="138"/>
  <c r="L55" i="138"/>
  <c r="O55" i="138" s="1"/>
  <c r="Y54" i="138"/>
  <c r="W54" i="138"/>
  <c r="V54" i="138"/>
  <c r="U54" i="138"/>
  <c r="T54" i="138"/>
  <c r="S54" i="138"/>
  <c r="R54" i="138"/>
  <c r="Q54" i="138"/>
  <c r="P54" i="138"/>
  <c r="L54" i="138"/>
  <c r="O54" i="138" s="1"/>
  <c r="Y53" i="138"/>
  <c r="W53" i="138"/>
  <c r="V53" i="138"/>
  <c r="U53" i="138"/>
  <c r="T53" i="138"/>
  <c r="S53" i="138"/>
  <c r="R53" i="138"/>
  <c r="Q53" i="138"/>
  <c r="P53" i="138"/>
  <c r="L53" i="138"/>
  <c r="O53" i="138" s="1"/>
  <c r="Y52" i="138"/>
  <c r="W52" i="138"/>
  <c r="V52" i="138"/>
  <c r="U52" i="138"/>
  <c r="T52" i="138"/>
  <c r="S52" i="138"/>
  <c r="R52" i="138"/>
  <c r="Q52" i="138"/>
  <c r="P52" i="138"/>
  <c r="L52" i="138"/>
  <c r="O52" i="138" s="1"/>
  <c r="Y51" i="138"/>
  <c r="W51" i="138"/>
  <c r="V51" i="138"/>
  <c r="U51" i="138"/>
  <c r="T51" i="138"/>
  <c r="S51" i="138"/>
  <c r="R51" i="138"/>
  <c r="Q51" i="138"/>
  <c r="P51" i="138"/>
  <c r="L51" i="138"/>
  <c r="O51" i="138" s="1"/>
  <c r="Y50" i="138"/>
  <c r="W50" i="138"/>
  <c r="V50" i="138"/>
  <c r="U50" i="138"/>
  <c r="T50" i="138"/>
  <c r="S50" i="138"/>
  <c r="R50" i="138"/>
  <c r="Q50" i="138"/>
  <c r="P50" i="138"/>
  <c r="L50" i="138"/>
  <c r="O50" i="138" s="1"/>
  <c r="Y49" i="138"/>
  <c r="W49" i="138"/>
  <c r="V49" i="138"/>
  <c r="U49" i="138"/>
  <c r="T49" i="138"/>
  <c r="S49" i="138"/>
  <c r="R49" i="138"/>
  <c r="Q49" i="138"/>
  <c r="P49" i="138"/>
  <c r="L49" i="138"/>
  <c r="O49" i="138" s="1"/>
  <c r="Y48" i="138"/>
  <c r="W48" i="138"/>
  <c r="V48" i="138"/>
  <c r="U48" i="138"/>
  <c r="T48" i="138"/>
  <c r="S48" i="138"/>
  <c r="R48" i="138"/>
  <c r="Q48" i="138"/>
  <c r="P48" i="138"/>
  <c r="L48" i="138"/>
  <c r="O48" i="138" s="1"/>
  <c r="Y47" i="138"/>
  <c r="W47" i="138"/>
  <c r="V47" i="138"/>
  <c r="U47" i="138"/>
  <c r="T47" i="138"/>
  <c r="S47" i="138"/>
  <c r="R47" i="138"/>
  <c r="Q47" i="138"/>
  <c r="P47" i="138"/>
  <c r="L47" i="138"/>
  <c r="O47" i="138" s="1"/>
  <c r="Y46" i="138"/>
  <c r="W46" i="138"/>
  <c r="V46" i="138"/>
  <c r="U46" i="138"/>
  <c r="T46" i="138"/>
  <c r="S46" i="138"/>
  <c r="R46" i="138"/>
  <c r="Q46" i="138"/>
  <c r="P46" i="138"/>
  <c r="L46" i="138"/>
  <c r="O46" i="138" s="1"/>
  <c r="Y45" i="138"/>
  <c r="W45" i="138"/>
  <c r="V45" i="138"/>
  <c r="U45" i="138"/>
  <c r="T45" i="138"/>
  <c r="S45" i="138"/>
  <c r="R45" i="138"/>
  <c r="Q45" i="138"/>
  <c r="P45" i="138"/>
  <c r="L45" i="138"/>
  <c r="O45" i="138" s="1"/>
  <c r="Y44" i="138"/>
  <c r="W44" i="138"/>
  <c r="V44" i="138"/>
  <c r="U44" i="138"/>
  <c r="T44" i="138"/>
  <c r="S44" i="138"/>
  <c r="R44" i="138"/>
  <c r="Q44" i="138"/>
  <c r="P44" i="138"/>
  <c r="L44" i="138"/>
  <c r="O44" i="138" s="1"/>
  <c r="Y43" i="138"/>
  <c r="W43" i="138"/>
  <c r="V43" i="138"/>
  <c r="U43" i="138"/>
  <c r="T43" i="138"/>
  <c r="S43" i="138"/>
  <c r="R43" i="138"/>
  <c r="Q43" i="138"/>
  <c r="P43" i="138"/>
  <c r="L43" i="138"/>
  <c r="O43" i="138" s="1"/>
  <c r="Y42" i="138"/>
  <c r="W42" i="138"/>
  <c r="V42" i="138"/>
  <c r="U42" i="138"/>
  <c r="T42" i="138"/>
  <c r="S42" i="138"/>
  <c r="R42" i="138"/>
  <c r="Q42" i="138"/>
  <c r="P42" i="138"/>
  <c r="L42" i="138"/>
  <c r="O42" i="138" s="1"/>
  <c r="Y41" i="138"/>
  <c r="W41" i="138"/>
  <c r="V41" i="138"/>
  <c r="U41" i="138"/>
  <c r="T41" i="138"/>
  <c r="S41" i="138"/>
  <c r="R41" i="138"/>
  <c r="Q41" i="138"/>
  <c r="P41" i="138"/>
  <c r="L41" i="138"/>
  <c r="O41" i="138" s="1"/>
  <c r="Y40" i="138"/>
  <c r="W40" i="138"/>
  <c r="V40" i="138"/>
  <c r="U40" i="138"/>
  <c r="T40" i="138"/>
  <c r="S40" i="138"/>
  <c r="R40" i="138"/>
  <c r="Q40" i="138"/>
  <c r="P40" i="138"/>
  <c r="L40" i="138"/>
  <c r="O40" i="138" s="1"/>
  <c r="Y39" i="138"/>
  <c r="W39" i="138"/>
  <c r="V39" i="138"/>
  <c r="U39" i="138"/>
  <c r="T39" i="138"/>
  <c r="S39" i="138"/>
  <c r="R39" i="138"/>
  <c r="Q39" i="138"/>
  <c r="P39" i="138"/>
  <c r="L39" i="138"/>
  <c r="O39" i="138" s="1"/>
  <c r="Y38" i="138"/>
  <c r="W38" i="138"/>
  <c r="V38" i="138"/>
  <c r="U38" i="138"/>
  <c r="T38" i="138"/>
  <c r="S38" i="138"/>
  <c r="R38" i="138"/>
  <c r="Q38" i="138"/>
  <c r="P38" i="138"/>
  <c r="L38" i="138"/>
  <c r="O38" i="138" s="1"/>
  <c r="Y37" i="138"/>
  <c r="W37" i="138"/>
  <c r="V37" i="138"/>
  <c r="U37" i="138"/>
  <c r="T37" i="138"/>
  <c r="S37" i="138"/>
  <c r="R37" i="138"/>
  <c r="Q37" i="138"/>
  <c r="P37" i="138"/>
  <c r="L37" i="138"/>
  <c r="O37" i="138" s="1"/>
  <c r="Y36" i="138"/>
  <c r="W36" i="138"/>
  <c r="V36" i="138"/>
  <c r="U36" i="138"/>
  <c r="T36" i="138"/>
  <c r="S36" i="138"/>
  <c r="R36" i="138"/>
  <c r="Q36" i="138"/>
  <c r="P36" i="138"/>
  <c r="L36" i="138"/>
  <c r="O36" i="138" s="1"/>
  <c r="Y35" i="138"/>
  <c r="W35" i="138"/>
  <c r="V35" i="138"/>
  <c r="U35" i="138"/>
  <c r="T35" i="138"/>
  <c r="S35" i="138"/>
  <c r="R35" i="138"/>
  <c r="Q35" i="138"/>
  <c r="P35" i="138"/>
  <c r="L35" i="138"/>
  <c r="O35" i="138" s="1"/>
  <c r="Y34" i="138"/>
  <c r="W34" i="138"/>
  <c r="V34" i="138"/>
  <c r="U34" i="138"/>
  <c r="T34" i="138"/>
  <c r="S34" i="138"/>
  <c r="R34" i="138"/>
  <c r="Q34" i="138"/>
  <c r="P34" i="138"/>
  <c r="L34" i="138"/>
  <c r="O34" i="138" s="1"/>
  <c r="Y33" i="138"/>
  <c r="W33" i="138"/>
  <c r="V33" i="138"/>
  <c r="U33" i="138"/>
  <c r="T33" i="138"/>
  <c r="S33" i="138"/>
  <c r="R33" i="138"/>
  <c r="Q33" i="138"/>
  <c r="P33" i="138"/>
  <c r="L33" i="138"/>
  <c r="O33" i="138" s="1"/>
  <c r="Y32" i="138"/>
  <c r="W32" i="138"/>
  <c r="V32" i="138"/>
  <c r="U32" i="138"/>
  <c r="T32" i="138"/>
  <c r="S32" i="138"/>
  <c r="R32" i="138"/>
  <c r="Q32" i="138"/>
  <c r="P32" i="138"/>
  <c r="L32" i="138"/>
  <c r="O32" i="138" s="1"/>
  <c r="Y31" i="138"/>
  <c r="W31" i="138"/>
  <c r="V31" i="138"/>
  <c r="U31" i="138"/>
  <c r="T31" i="138"/>
  <c r="S31" i="138"/>
  <c r="R31" i="138"/>
  <c r="Q31" i="138"/>
  <c r="P31" i="138"/>
  <c r="L31" i="138"/>
  <c r="O31" i="138" s="1"/>
  <c r="Y30" i="138"/>
  <c r="W30" i="138"/>
  <c r="V30" i="138"/>
  <c r="U30" i="138"/>
  <c r="T30" i="138"/>
  <c r="S30" i="138"/>
  <c r="R30" i="138"/>
  <c r="Q30" i="138"/>
  <c r="P30" i="138"/>
  <c r="L30" i="138"/>
  <c r="O30" i="138" s="1"/>
  <c r="Y29" i="138"/>
  <c r="W29" i="138"/>
  <c r="V29" i="138"/>
  <c r="U29" i="138"/>
  <c r="T29" i="138"/>
  <c r="S29" i="138"/>
  <c r="R29" i="138"/>
  <c r="Q29" i="138"/>
  <c r="P29" i="138"/>
  <c r="L29" i="138"/>
  <c r="O29" i="138" s="1"/>
  <c r="Y28" i="138"/>
  <c r="W28" i="138"/>
  <c r="V28" i="138"/>
  <c r="U28" i="138"/>
  <c r="T28" i="138"/>
  <c r="S28" i="138"/>
  <c r="R28" i="138"/>
  <c r="Q28" i="138"/>
  <c r="P28" i="138"/>
  <c r="L28" i="138"/>
  <c r="O28" i="138" s="1"/>
  <c r="Y27" i="138"/>
  <c r="W27" i="138"/>
  <c r="V27" i="138"/>
  <c r="U27" i="138"/>
  <c r="T27" i="138"/>
  <c r="S27" i="138"/>
  <c r="R27" i="138"/>
  <c r="Q27" i="138"/>
  <c r="P27" i="138"/>
  <c r="L27" i="138"/>
  <c r="O27" i="138" s="1"/>
  <c r="Y26" i="138"/>
  <c r="W26" i="138"/>
  <c r="V26" i="138"/>
  <c r="U26" i="138"/>
  <c r="T26" i="138"/>
  <c r="S26" i="138"/>
  <c r="R26" i="138"/>
  <c r="Q26" i="138"/>
  <c r="P26" i="138"/>
  <c r="L26" i="138"/>
  <c r="O26" i="138" s="1"/>
  <c r="Y25" i="138"/>
  <c r="W25" i="138"/>
  <c r="V25" i="138"/>
  <c r="U25" i="138"/>
  <c r="T25" i="138"/>
  <c r="S25" i="138"/>
  <c r="R25" i="138"/>
  <c r="Q25" i="138"/>
  <c r="P25" i="138"/>
  <c r="L25" i="138"/>
  <c r="O25" i="138" s="1"/>
  <c r="Y24" i="138"/>
  <c r="W24" i="138"/>
  <c r="V24" i="138"/>
  <c r="U24" i="138"/>
  <c r="T24" i="138"/>
  <c r="S24" i="138"/>
  <c r="R24" i="138"/>
  <c r="Q24" i="138"/>
  <c r="P24" i="138"/>
  <c r="L24" i="138"/>
  <c r="O24" i="138" s="1"/>
  <c r="Y23" i="138"/>
  <c r="W23" i="138"/>
  <c r="V23" i="138"/>
  <c r="U23" i="138"/>
  <c r="T23" i="138"/>
  <c r="S23" i="138"/>
  <c r="R23" i="138"/>
  <c r="Q23" i="138"/>
  <c r="P23" i="138"/>
  <c r="L23" i="138"/>
  <c r="O23" i="138" s="1"/>
  <c r="Y22" i="138"/>
  <c r="W22" i="138"/>
  <c r="V22" i="138"/>
  <c r="U22" i="138"/>
  <c r="T22" i="138"/>
  <c r="S22" i="138"/>
  <c r="R22" i="138"/>
  <c r="Q22" i="138"/>
  <c r="P22" i="138"/>
  <c r="L22" i="138"/>
  <c r="O22" i="138" s="1"/>
  <c r="Y21" i="138"/>
  <c r="W21" i="138"/>
  <c r="V21" i="138"/>
  <c r="U21" i="138"/>
  <c r="T21" i="138"/>
  <c r="S21" i="138"/>
  <c r="R21" i="138"/>
  <c r="Q21" i="138"/>
  <c r="P21" i="138"/>
  <c r="L21" i="138"/>
  <c r="O21" i="138" s="1"/>
  <c r="Y20" i="138"/>
  <c r="W20" i="138"/>
  <c r="V20" i="138"/>
  <c r="U20" i="138"/>
  <c r="T20" i="138"/>
  <c r="S20" i="138"/>
  <c r="R20" i="138"/>
  <c r="Q20" i="138"/>
  <c r="P20" i="138"/>
  <c r="L20" i="138"/>
  <c r="O20" i="138" s="1"/>
  <c r="Y19" i="138"/>
  <c r="W19" i="138"/>
  <c r="V19" i="138"/>
  <c r="U19" i="138"/>
  <c r="T19" i="138"/>
  <c r="S19" i="138"/>
  <c r="R19" i="138"/>
  <c r="Q19" i="138"/>
  <c r="P19" i="138"/>
  <c r="L19" i="138"/>
  <c r="O19" i="138" s="1"/>
  <c r="Y18" i="138"/>
  <c r="W18" i="138"/>
  <c r="V18" i="138"/>
  <c r="U18" i="138"/>
  <c r="T18" i="138"/>
  <c r="S18" i="138"/>
  <c r="R18" i="138"/>
  <c r="Q18" i="138"/>
  <c r="P18" i="138"/>
  <c r="L18" i="138"/>
  <c r="O18" i="138" s="1"/>
  <c r="Y17" i="138"/>
  <c r="W17" i="138"/>
  <c r="V17" i="138"/>
  <c r="U17" i="138"/>
  <c r="T17" i="138"/>
  <c r="S17" i="138"/>
  <c r="R17" i="138"/>
  <c r="Q17" i="138"/>
  <c r="P17" i="138"/>
  <c r="L17" i="138"/>
  <c r="O17" i="138" s="1"/>
  <c r="Y16" i="138"/>
  <c r="W16" i="138"/>
  <c r="V16" i="138"/>
  <c r="U16" i="138"/>
  <c r="T16" i="138"/>
  <c r="S16" i="138"/>
  <c r="R16" i="138"/>
  <c r="Q16" i="138"/>
  <c r="P16" i="138"/>
  <c r="L16" i="138"/>
  <c r="O16" i="138" s="1"/>
  <c r="Y15" i="138"/>
  <c r="W15" i="138"/>
  <c r="V15" i="138"/>
  <c r="U15" i="138"/>
  <c r="T15" i="138"/>
  <c r="S15" i="138"/>
  <c r="R15" i="138"/>
  <c r="Q15" i="138"/>
  <c r="P15" i="138"/>
  <c r="L15" i="138"/>
  <c r="O15" i="138" s="1"/>
  <c r="Y14" i="138"/>
  <c r="W14" i="138"/>
  <c r="V14" i="138"/>
  <c r="U14" i="138"/>
  <c r="T14" i="138"/>
  <c r="S14" i="138"/>
  <c r="R14" i="138"/>
  <c r="Q14" i="138"/>
  <c r="P14" i="138"/>
  <c r="L14" i="138"/>
  <c r="O14" i="138" s="1"/>
  <c r="Y13" i="138"/>
  <c r="W13" i="138"/>
  <c r="V13" i="138"/>
  <c r="U13" i="138"/>
  <c r="T13" i="138"/>
  <c r="S13" i="138"/>
  <c r="R13" i="138"/>
  <c r="Q13" i="138"/>
  <c r="P13" i="138"/>
  <c r="L13" i="138"/>
  <c r="O13" i="138" s="1"/>
  <c r="Y12" i="138"/>
  <c r="W12" i="138"/>
  <c r="V12" i="138"/>
  <c r="U12" i="138"/>
  <c r="T12" i="138"/>
  <c r="S12" i="138"/>
  <c r="R12" i="138"/>
  <c r="Q12" i="138"/>
  <c r="P12" i="138"/>
  <c r="L12" i="138"/>
  <c r="O12" i="138" s="1"/>
  <c r="Y11" i="138"/>
  <c r="W11" i="138"/>
  <c r="V11" i="138"/>
  <c r="U11" i="138"/>
  <c r="T11" i="138"/>
  <c r="S11" i="138"/>
  <c r="R11" i="138"/>
  <c r="Q11" i="138"/>
  <c r="P11" i="138"/>
  <c r="L11" i="138"/>
  <c r="O11" i="138" s="1"/>
  <c r="Y10" i="138"/>
  <c r="W10" i="138"/>
  <c r="V10" i="138"/>
  <c r="U10" i="138"/>
  <c r="T10" i="138"/>
  <c r="S10" i="138"/>
  <c r="R10" i="138"/>
  <c r="Q10" i="138"/>
  <c r="P10" i="138"/>
  <c r="L10" i="138"/>
  <c r="O10" i="138" s="1"/>
  <c r="Y9" i="138"/>
  <c r="W9" i="138"/>
  <c r="V9" i="138"/>
  <c r="U9" i="138"/>
  <c r="T9" i="138"/>
  <c r="S9" i="138"/>
  <c r="R9" i="138"/>
  <c r="Q9" i="138"/>
  <c r="P9" i="138"/>
  <c r="L9" i="138"/>
  <c r="O9" i="138" s="1"/>
  <c r="T7" i="138" l="1"/>
  <c r="W7" i="138"/>
  <c r="V7" i="138"/>
  <c r="AA258" i="138"/>
  <c r="AA256" i="138"/>
  <c r="O7" i="138"/>
  <c r="S7" i="138"/>
  <c r="P7" i="138"/>
  <c r="U7" i="138"/>
  <c r="Y7" i="138"/>
  <c r="Y6" i="138"/>
  <c r="L7" i="138"/>
  <c r="R7" i="138"/>
  <c r="Q7" i="138"/>
  <c r="X12" i="138"/>
  <c r="AA12" i="138" s="1"/>
  <c r="AA257" i="138"/>
  <c r="X123" i="138"/>
  <c r="AA123" i="138" s="1"/>
  <c r="X155" i="138"/>
  <c r="AA155" i="138" s="1"/>
  <c r="X231" i="138"/>
  <c r="AA231" i="138" s="1"/>
  <c r="X24" i="138"/>
  <c r="AA24" i="138" s="1"/>
  <c r="X27" i="138"/>
  <c r="AA27" i="138" s="1"/>
  <c r="X207" i="138"/>
  <c r="AA207" i="138" s="1"/>
  <c r="X17" i="138"/>
  <c r="AA17" i="138" s="1"/>
  <c r="X56" i="138"/>
  <c r="AA56" i="138" s="1"/>
  <c r="X63" i="138"/>
  <c r="AA63" i="138" s="1"/>
  <c r="X77" i="138"/>
  <c r="AA77" i="138" s="1"/>
  <c r="X53" i="138"/>
  <c r="AA53" i="138" s="1"/>
  <c r="X81" i="138"/>
  <c r="AA81" i="138" s="1"/>
  <c r="X107" i="138"/>
  <c r="AA107" i="138" s="1"/>
  <c r="X139" i="138"/>
  <c r="AA139" i="138" s="1"/>
  <c r="X215" i="138"/>
  <c r="AA215" i="138" s="1"/>
  <c r="X247" i="138"/>
  <c r="AA247" i="138" s="1"/>
  <c r="C7" i="138"/>
  <c r="C5" i="138" s="1"/>
  <c r="X10" i="138"/>
  <c r="AA10" i="138" s="1"/>
  <c r="X13" i="138"/>
  <c r="AA13" i="138" s="1"/>
  <c r="X20" i="138"/>
  <c r="AA20" i="138" s="1"/>
  <c r="X33" i="138"/>
  <c r="AA33" i="138" s="1"/>
  <c r="X35" i="138"/>
  <c r="AA35" i="138" s="1"/>
  <c r="X43" i="138"/>
  <c r="AA43" i="138" s="1"/>
  <c r="X69" i="138"/>
  <c r="AA69" i="138" s="1"/>
  <c r="X72" i="138"/>
  <c r="AA72" i="138" s="1"/>
  <c r="X91" i="138"/>
  <c r="AA91" i="138" s="1"/>
  <c r="X97" i="138"/>
  <c r="AA97" i="138" s="1"/>
  <c r="X167" i="138"/>
  <c r="AA167" i="138" s="1"/>
  <c r="X183" i="138"/>
  <c r="AA183" i="138" s="1"/>
  <c r="X199" i="138"/>
  <c r="AA199" i="138" s="1"/>
  <c r="X208" i="138"/>
  <c r="AA208" i="138" s="1"/>
  <c r="X224" i="138"/>
  <c r="AA224" i="138" s="1"/>
  <c r="X237" i="138"/>
  <c r="AA237" i="138" s="1"/>
  <c r="X240" i="138"/>
  <c r="AA240" i="138" s="1"/>
  <c r="X11" i="138"/>
  <c r="AA11" i="138" s="1"/>
  <c r="X14" i="138"/>
  <c r="AA14" i="138" s="1"/>
  <c r="X37" i="138"/>
  <c r="AA37" i="138" s="1"/>
  <c r="X40" i="138"/>
  <c r="AA40" i="138" s="1"/>
  <c r="X47" i="138"/>
  <c r="AA47" i="138" s="1"/>
  <c r="X67" i="138"/>
  <c r="AA67" i="138" s="1"/>
  <c r="X73" i="138"/>
  <c r="AA73" i="138" s="1"/>
  <c r="X79" i="138"/>
  <c r="AA79" i="138" s="1"/>
  <c r="X85" i="138"/>
  <c r="AA85" i="138" s="1"/>
  <c r="X88" i="138"/>
  <c r="AA88" i="138" s="1"/>
  <c r="X101" i="138"/>
  <c r="AA101" i="138" s="1"/>
  <c r="X117" i="138"/>
  <c r="AA117" i="138" s="1"/>
  <c r="X133" i="138"/>
  <c r="AA133" i="138" s="1"/>
  <c r="X149" i="138"/>
  <c r="AA149" i="138" s="1"/>
  <c r="X165" i="138"/>
  <c r="AA165" i="138" s="1"/>
  <c r="X174" i="138"/>
  <c r="AA174" i="138" s="1"/>
  <c r="X190" i="138"/>
  <c r="AA190" i="138" s="1"/>
  <c r="X206" i="138"/>
  <c r="AA206" i="138" s="1"/>
  <c r="X209" i="138"/>
  <c r="AA209" i="138" s="1"/>
  <c r="X21" i="138"/>
  <c r="AA21" i="138" s="1"/>
  <c r="X28" i="138"/>
  <c r="AA28" i="138" s="1"/>
  <c r="X57" i="138"/>
  <c r="AA57" i="138" s="1"/>
  <c r="X95" i="138"/>
  <c r="AA95" i="138" s="1"/>
  <c r="X111" i="138"/>
  <c r="AA111" i="138" s="1"/>
  <c r="X127" i="138"/>
  <c r="AA127" i="138" s="1"/>
  <c r="X143" i="138"/>
  <c r="AA143" i="138" s="1"/>
  <c r="X159" i="138"/>
  <c r="AA159" i="138" s="1"/>
  <c r="X181" i="138"/>
  <c r="AA181" i="138" s="1"/>
  <c r="X222" i="138"/>
  <c r="AA222" i="138" s="1"/>
  <c r="X238" i="138"/>
  <c r="AA238" i="138" s="1"/>
  <c r="X254" i="138"/>
  <c r="AA254" i="138" s="1"/>
  <c r="X25" i="138"/>
  <c r="AA25" i="138" s="1"/>
  <c r="X51" i="138"/>
  <c r="AA51" i="138" s="1"/>
  <c r="X54" i="138"/>
  <c r="AA54" i="138" s="1"/>
  <c r="X61" i="138"/>
  <c r="AA61" i="138" s="1"/>
  <c r="X64" i="138"/>
  <c r="AA64" i="138" s="1"/>
  <c r="X89" i="138"/>
  <c r="AA89" i="138" s="1"/>
  <c r="X124" i="138"/>
  <c r="AA124" i="138" s="1"/>
  <c r="X156" i="138"/>
  <c r="AA156" i="138" s="1"/>
  <c r="X175" i="138"/>
  <c r="AA175" i="138" s="1"/>
  <c r="X178" i="138"/>
  <c r="AA178" i="138" s="1"/>
  <c r="X191" i="138"/>
  <c r="AA191" i="138" s="1"/>
  <c r="X194" i="138"/>
  <c r="AA194" i="138" s="1"/>
  <c r="X213" i="138"/>
  <c r="AA213" i="138" s="1"/>
  <c r="X245" i="138"/>
  <c r="AA245" i="138" s="1"/>
  <c r="X15" i="138"/>
  <c r="AA15" i="138" s="1"/>
  <c r="X18" i="138"/>
  <c r="AA18" i="138" s="1"/>
  <c r="X9" i="138"/>
  <c r="X22" i="138"/>
  <c r="AA22" i="138" s="1"/>
  <c r="X31" i="138"/>
  <c r="AA31" i="138" s="1"/>
  <c r="X45" i="138"/>
  <c r="AA45" i="138" s="1"/>
  <c r="X48" i="138"/>
  <c r="AA48" i="138" s="1"/>
  <c r="X58" i="138"/>
  <c r="AA58" i="138" s="1"/>
  <c r="X71" i="138"/>
  <c r="AA71" i="138" s="1"/>
  <c r="X80" i="138"/>
  <c r="AA80" i="138" s="1"/>
  <c r="X83" i="138"/>
  <c r="AA83" i="138" s="1"/>
  <c r="X99" i="138"/>
  <c r="AA99" i="138" s="1"/>
  <c r="X102" i="138"/>
  <c r="AA102" i="138" s="1"/>
  <c r="X115" i="138"/>
  <c r="AA115" i="138" s="1"/>
  <c r="X131" i="138"/>
  <c r="AA131" i="138" s="1"/>
  <c r="X134" i="138"/>
  <c r="AA134" i="138" s="1"/>
  <c r="X147" i="138"/>
  <c r="AA147" i="138" s="1"/>
  <c r="X163" i="138"/>
  <c r="AA163" i="138" s="1"/>
  <c r="X169" i="138"/>
  <c r="AA169" i="138" s="1"/>
  <c r="X172" i="138"/>
  <c r="AA172" i="138" s="1"/>
  <c r="X185" i="138"/>
  <c r="AA185" i="138" s="1"/>
  <c r="X188" i="138"/>
  <c r="AA188" i="138" s="1"/>
  <c r="X201" i="138"/>
  <c r="AA201" i="138" s="1"/>
  <c r="X204" i="138"/>
  <c r="AA204" i="138" s="1"/>
  <c r="X210" i="138"/>
  <c r="AA210" i="138" s="1"/>
  <c r="X223" i="138"/>
  <c r="AA223" i="138" s="1"/>
  <c r="X226" i="138"/>
  <c r="AA226" i="138" s="1"/>
  <c r="X239" i="138"/>
  <c r="AA239" i="138" s="1"/>
  <c r="X242" i="138"/>
  <c r="AA242" i="138" s="1"/>
  <c r="X255" i="138"/>
  <c r="AA255" i="138" s="1"/>
  <c r="X16" i="138"/>
  <c r="AA16" i="138" s="1"/>
  <c r="X19" i="138"/>
  <c r="AA19" i="138" s="1"/>
  <c r="X29" i="138"/>
  <c r="AA29" i="138" s="1"/>
  <c r="X32" i="138"/>
  <c r="AA32" i="138" s="1"/>
  <c r="X55" i="138"/>
  <c r="AA55" i="138" s="1"/>
  <c r="X65" i="138"/>
  <c r="AA65" i="138" s="1"/>
  <c r="X93" i="138"/>
  <c r="AA93" i="138" s="1"/>
  <c r="X96" i="138"/>
  <c r="AA96" i="138" s="1"/>
  <c r="X109" i="138"/>
  <c r="AA109" i="138" s="1"/>
  <c r="X125" i="138"/>
  <c r="AA125" i="138" s="1"/>
  <c r="X141" i="138"/>
  <c r="AA141" i="138" s="1"/>
  <c r="X157" i="138"/>
  <c r="AA157" i="138" s="1"/>
  <c r="X166" i="138"/>
  <c r="AA166" i="138" s="1"/>
  <c r="X195" i="138"/>
  <c r="AA195" i="138" s="1"/>
  <c r="X198" i="138"/>
  <c r="AA198" i="138" s="1"/>
  <c r="X220" i="138"/>
  <c r="AA220" i="138" s="1"/>
  <c r="X233" i="138"/>
  <c r="AA233" i="138" s="1"/>
  <c r="X236" i="138"/>
  <c r="AA236" i="138" s="1"/>
  <c r="X252" i="138"/>
  <c r="AA252" i="138" s="1"/>
  <c r="X23" i="138"/>
  <c r="AA23" i="138" s="1"/>
  <c r="X26" i="138"/>
  <c r="AA26" i="138" s="1"/>
  <c r="X39" i="138"/>
  <c r="AA39" i="138" s="1"/>
  <c r="X41" i="138"/>
  <c r="AA41" i="138" s="1"/>
  <c r="X49" i="138"/>
  <c r="AA49" i="138" s="1"/>
  <c r="X52" i="138"/>
  <c r="AA52" i="138" s="1"/>
  <c r="X59" i="138"/>
  <c r="AA59" i="138" s="1"/>
  <c r="X75" i="138"/>
  <c r="AA75" i="138" s="1"/>
  <c r="X87" i="138"/>
  <c r="AA87" i="138" s="1"/>
  <c r="X103" i="138"/>
  <c r="AA103" i="138" s="1"/>
  <c r="X106" i="138"/>
  <c r="AA106" i="138" s="1"/>
  <c r="X119" i="138"/>
  <c r="AA119" i="138" s="1"/>
  <c r="X135" i="138"/>
  <c r="AA135" i="138" s="1"/>
  <c r="X138" i="138"/>
  <c r="AA138" i="138" s="1"/>
  <c r="X151" i="138"/>
  <c r="AA151" i="138" s="1"/>
  <c r="X176" i="138"/>
  <c r="AA176" i="138" s="1"/>
  <c r="X192" i="138"/>
  <c r="AA192" i="138" s="1"/>
  <c r="X205" i="138"/>
  <c r="AA205" i="138" s="1"/>
  <c r="X227" i="138"/>
  <c r="AA227" i="138" s="1"/>
  <c r="X230" i="138"/>
  <c r="AA230" i="138" s="1"/>
  <c r="X60" i="138"/>
  <c r="AA60" i="138" s="1"/>
  <c r="X62" i="138"/>
  <c r="AA62" i="138" s="1"/>
  <c r="X66" i="138"/>
  <c r="AA66" i="138" s="1"/>
  <c r="X104" i="138"/>
  <c r="AA104" i="138" s="1"/>
  <c r="X114" i="138"/>
  <c r="AA114" i="138" s="1"/>
  <c r="X126" i="138"/>
  <c r="AA126" i="138" s="1"/>
  <c r="X129" i="138"/>
  <c r="AA129" i="138" s="1"/>
  <c r="X136" i="138"/>
  <c r="AA136" i="138" s="1"/>
  <c r="X146" i="138"/>
  <c r="AA146" i="138" s="1"/>
  <c r="X158" i="138"/>
  <c r="AA158" i="138" s="1"/>
  <c r="X161" i="138"/>
  <c r="AA161" i="138" s="1"/>
  <c r="X186" i="138"/>
  <c r="AA186" i="138" s="1"/>
  <c r="X218" i="138"/>
  <c r="AA218" i="138" s="1"/>
  <c r="X250" i="138"/>
  <c r="AA250" i="138" s="1"/>
  <c r="X44" i="138"/>
  <c r="AA44" i="138" s="1"/>
  <c r="X46" i="138"/>
  <c r="AA46" i="138" s="1"/>
  <c r="X50" i="138"/>
  <c r="AA50" i="138" s="1"/>
  <c r="X105" i="138"/>
  <c r="AA105" i="138" s="1"/>
  <c r="X112" i="138"/>
  <c r="AA112" i="138" s="1"/>
  <c r="X122" i="138"/>
  <c r="AA122" i="138" s="1"/>
  <c r="X137" i="138"/>
  <c r="AA137" i="138" s="1"/>
  <c r="X144" i="138"/>
  <c r="AA144" i="138" s="1"/>
  <c r="X154" i="138"/>
  <c r="AA154" i="138" s="1"/>
  <c r="X187" i="138"/>
  <c r="AA187" i="138" s="1"/>
  <c r="X219" i="138"/>
  <c r="AA219" i="138" s="1"/>
  <c r="X251" i="138"/>
  <c r="AA251" i="138" s="1"/>
  <c r="X38" i="138"/>
  <c r="AA38" i="138" s="1"/>
  <c r="X42" i="138"/>
  <c r="AA42" i="138" s="1"/>
  <c r="X100" i="138"/>
  <c r="AA100" i="138" s="1"/>
  <c r="X132" i="138"/>
  <c r="AA132" i="138" s="1"/>
  <c r="X164" i="138"/>
  <c r="AA164" i="138" s="1"/>
  <c r="X173" i="138"/>
  <c r="AA173" i="138" s="1"/>
  <c r="X184" i="138"/>
  <c r="AA184" i="138" s="1"/>
  <c r="X193" i="138"/>
  <c r="AA193" i="138" s="1"/>
  <c r="X196" i="138"/>
  <c r="AA196" i="138" s="1"/>
  <c r="X216" i="138"/>
  <c r="AA216" i="138" s="1"/>
  <c r="X225" i="138"/>
  <c r="AA225" i="138" s="1"/>
  <c r="X228" i="138"/>
  <c r="AA228" i="138" s="1"/>
  <c r="X248" i="138"/>
  <c r="AA248" i="138" s="1"/>
  <c r="X30" i="138"/>
  <c r="AA30" i="138" s="1"/>
  <c r="X36" i="138"/>
  <c r="AA36" i="138" s="1"/>
  <c r="X34" i="138"/>
  <c r="AA34" i="138" s="1"/>
  <c r="X92" i="138"/>
  <c r="AA92" i="138" s="1"/>
  <c r="X94" i="138"/>
  <c r="AA94" i="138" s="1"/>
  <c r="X98" i="138"/>
  <c r="AA98" i="138" s="1"/>
  <c r="X110" i="138"/>
  <c r="AA110" i="138" s="1"/>
  <c r="X113" i="138"/>
  <c r="AA113" i="138" s="1"/>
  <c r="X120" i="138"/>
  <c r="AA120" i="138" s="1"/>
  <c r="X130" i="138"/>
  <c r="AA130" i="138" s="1"/>
  <c r="X142" i="138"/>
  <c r="AA142" i="138" s="1"/>
  <c r="X145" i="138"/>
  <c r="AA145" i="138" s="1"/>
  <c r="X152" i="138"/>
  <c r="AA152" i="138" s="1"/>
  <c r="X162" i="138"/>
  <c r="AA162" i="138" s="1"/>
  <c r="X170" i="138"/>
  <c r="AA170" i="138" s="1"/>
  <c r="X179" i="138"/>
  <c r="AA179" i="138" s="1"/>
  <c r="X202" i="138"/>
  <c r="AA202" i="138" s="1"/>
  <c r="X211" i="138"/>
  <c r="AA211" i="138" s="1"/>
  <c r="X234" i="138"/>
  <c r="AA234" i="138" s="1"/>
  <c r="X243" i="138"/>
  <c r="AA243" i="138" s="1"/>
  <c r="X84" i="138"/>
  <c r="AA84" i="138" s="1"/>
  <c r="X86" i="138"/>
  <c r="AA86" i="138" s="1"/>
  <c r="X90" i="138"/>
  <c r="AA90" i="138" s="1"/>
  <c r="X108" i="138"/>
  <c r="AA108" i="138" s="1"/>
  <c r="X140" i="138"/>
  <c r="AA140" i="138" s="1"/>
  <c r="X182" i="138"/>
  <c r="AA182" i="138" s="1"/>
  <c r="X197" i="138"/>
  <c r="AA197" i="138" s="1"/>
  <c r="X214" i="138"/>
  <c r="AA214" i="138" s="1"/>
  <c r="X217" i="138"/>
  <c r="AA217" i="138" s="1"/>
  <c r="X229" i="138"/>
  <c r="AA229" i="138" s="1"/>
  <c r="X246" i="138"/>
  <c r="AA246" i="138" s="1"/>
  <c r="X249" i="138"/>
  <c r="AA249" i="138" s="1"/>
  <c r="X76" i="138"/>
  <c r="AA76" i="138" s="1"/>
  <c r="X78" i="138"/>
  <c r="AA78" i="138" s="1"/>
  <c r="X82" i="138"/>
  <c r="AA82" i="138" s="1"/>
  <c r="X118" i="138"/>
  <c r="AA118" i="138" s="1"/>
  <c r="X121" i="138"/>
  <c r="AA121" i="138" s="1"/>
  <c r="X128" i="138"/>
  <c r="AA128" i="138" s="1"/>
  <c r="X150" i="138"/>
  <c r="AA150" i="138" s="1"/>
  <c r="X153" i="138"/>
  <c r="AA153" i="138" s="1"/>
  <c r="X160" i="138"/>
  <c r="AA160" i="138" s="1"/>
  <c r="X171" i="138"/>
  <c r="AA171" i="138" s="1"/>
  <c r="X203" i="138"/>
  <c r="AA203" i="138" s="1"/>
  <c r="X235" i="138"/>
  <c r="AA235" i="138" s="1"/>
  <c r="X68" i="138"/>
  <c r="AA68" i="138" s="1"/>
  <c r="X70" i="138"/>
  <c r="AA70" i="138" s="1"/>
  <c r="X74" i="138"/>
  <c r="AA74" i="138" s="1"/>
  <c r="X116" i="138"/>
  <c r="AA116" i="138" s="1"/>
  <c r="X148" i="138"/>
  <c r="AA148" i="138" s="1"/>
  <c r="X168" i="138"/>
  <c r="AA168" i="138" s="1"/>
  <c r="X177" i="138"/>
  <c r="AA177" i="138" s="1"/>
  <c r="X180" i="138"/>
  <c r="AA180" i="138" s="1"/>
  <c r="X189" i="138"/>
  <c r="AA189" i="138" s="1"/>
  <c r="X200" i="138"/>
  <c r="AA200" i="138" s="1"/>
  <c r="X212" i="138"/>
  <c r="AA212" i="138" s="1"/>
  <c r="X221" i="138"/>
  <c r="AA221" i="138" s="1"/>
  <c r="X232" i="138"/>
  <c r="AA232" i="138" s="1"/>
  <c r="X241" i="138"/>
  <c r="AA241" i="138" s="1"/>
  <c r="X244" i="138"/>
  <c r="AA244" i="138" s="1"/>
  <c r="X253" i="138"/>
  <c r="AA253" i="138" s="1"/>
  <c r="AA9" i="138" l="1"/>
  <c r="X7" i="138"/>
  <c r="C6" i="138"/>
  <c r="AA7" i="138" l="1"/>
  <c r="AA6" i="138"/>
  <c r="S10" i="137" l="1"/>
  <c r="M10" i="137"/>
  <c r="P10" i="137"/>
  <c r="U9" i="137"/>
  <c r="O9" i="137"/>
  <c r="R9" i="137"/>
  <c r="D9" i="137"/>
  <c r="Q9" i="137" s="1"/>
  <c r="C9" i="137"/>
  <c r="U8" i="137"/>
  <c r="R8" i="137"/>
  <c r="D8" i="137"/>
  <c r="N8" i="137" s="1"/>
  <c r="C8" i="137"/>
  <c r="U7" i="137"/>
  <c r="O7" i="137"/>
  <c r="R7" i="137"/>
  <c r="D7" i="137"/>
  <c r="N7" i="137" s="1"/>
  <c r="C7" i="137"/>
  <c r="U6" i="137"/>
  <c r="R6" i="137"/>
  <c r="C6" i="137"/>
  <c r="D6" i="137" s="1"/>
  <c r="U5" i="137"/>
  <c r="R5" i="137"/>
  <c r="D5" i="137"/>
  <c r="T5" i="137" s="1"/>
  <c r="C5" i="137"/>
  <c r="U4" i="137"/>
  <c r="R4" i="137"/>
  <c r="D4" i="137"/>
  <c r="T4" i="137" s="1"/>
  <c r="C4" i="137"/>
  <c r="Q8" i="137" l="1"/>
  <c r="N9" i="137"/>
  <c r="Q7" i="137"/>
  <c r="T7" i="137"/>
  <c r="T8" i="137"/>
  <c r="R10" i="137"/>
  <c r="T9" i="137"/>
  <c r="U10" i="137"/>
  <c r="Q4" i="137"/>
  <c r="N5" i="137"/>
  <c r="O10" i="137"/>
  <c r="Q5" i="137"/>
  <c r="N4" i="137"/>
  <c r="T6" i="137"/>
  <c r="N6" i="137"/>
  <c r="Q6" i="137"/>
  <c r="D69" i="129"/>
  <c r="Q10" i="137" l="1"/>
  <c r="Q11" i="137" s="1"/>
  <c r="T10" i="137"/>
  <c r="T11" i="137" s="1"/>
  <c r="N10" i="137"/>
  <c r="N11" i="137" s="1"/>
  <c r="R42" i="119"/>
  <c r="Q42" i="119"/>
  <c r="P42" i="119"/>
  <c r="O42" i="119"/>
  <c r="N42" i="119"/>
  <c r="M42" i="119"/>
  <c r="O39" i="119"/>
  <c r="O38" i="119"/>
  <c r="M39" i="119"/>
  <c r="R39" i="119"/>
  <c r="Q39" i="119"/>
  <c r="R17" i="119"/>
  <c r="Q17" i="119"/>
  <c r="P39" i="119"/>
  <c r="N39" i="119"/>
  <c r="P17" i="119"/>
  <c r="O17" i="119"/>
  <c r="N17" i="119"/>
  <c r="M17" i="119"/>
  <c r="L102" i="119"/>
  <c r="L124" i="119"/>
  <c r="L122" i="119"/>
  <c r="L108" i="119"/>
  <c r="L106" i="119"/>
  <c r="L104" i="119"/>
  <c r="D150" i="129" l="1"/>
  <c r="T82" i="105" l="1"/>
  <c r="M33" i="120"/>
  <c r="O33" i="120"/>
  <c r="M32" i="120"/>
  <c r="O32" i="120"/>
  <c r="M31" i="120"/>
  <c r="O31" i="120"/>
  <c r="M30" i="120"/>
  <c r="O30" i="120"/>
  <c r="Q69" i="119"/>
  <c r="R69" i="119"/>
  <c r="U69" i="119"/>
  <c r="V69" i="119"/>
  <c r="Q66" i="119"/>
  <c r="R66" i="119"/>
  <c r="U66" i="119"/>
  <c r="V66" i="119"/>
  <c r="Q63" i="119"/>
  <c r="Q65" i="119" s="1"/>
  <c r="Q107" i="119" s="1"/>
  <c r="R63" i="119"/>
  <c r="R65" i="119" s="1"/>
  <c r="R107" i="119" s="1"/>
  <c r="U63" i="119"/>
  <c r="U65" i="119" s="1"/>
  <c r="U107" i="119" s="1"/>
  <c r="V63" i="119"/>
  <c r="V65" i="119" s="1"/>
  <c r="V107" i="119" s="1"/>
  <c r="Q60" i="119"/>
  <c r="Q62" i="119" s="1"/>
  <c r="Q105" i="119" s="1"/>
  <c r="R60" i="119"/>
  <c r="R62" i="119" s="1"/>
  <c r="R105" i="119" s="1"/>
  <c r="U60" i="119"/>
  <c r="U62" i="119" s="1"/>
  <c r="U105" i="119" s="1"/>
  <c r="V60" i="119"/>
  <c r="V62" i="119" s="1"/>
  <c r="V105" i="119" s="1"/>
  <c r="Q57" i="119"/>
  <c r="Q59" i="119" s="1"/>
  <c r="Q103" i="119" s="1"/>
  <c r="R57" i="119"/>
  <c r="R59" i="119" s="1"/>
  <c r="R103" i="119" s="1"/>
  <c r="U57" i="119"/>
  <c r="U59" i="119" s="1"/>
  <c r="U103" i="119" s="1"/>
  <c r="V57" i="119"/>
  <c r="V59" i="119" s="1"/>
  <c r="V103" i="119" s="1"/>
  <c r="Q54" i="119"/>
  <c r="Q56" i="119" s="1"/>
  <c r="Q125" i="119" s="1"/>
  <c r="R54" i="119"/>
  <c r="U54" i="119"/>
  <c r="U56" i="119" s="1"/>
  <c r="V54" i="119"/>
  <c r="V56" i="119" s="1"/>
  <c r="V125" i="119" s="1"/>
  <c r="N69" i="119"/>
  <c r="R29" i="120"/>
  <c r="R30" i="120"/>
  <c r="R31" i="120"/>
  <c r="R32" i="120"/>
  <c r="R33" i="120"/>
  <c r="R34" i="120"/>
  <c r="N57" i="119"/>
  <c r="N59" i="119" s="1"/>
  <c r="N103" i="119" s="1"/>
  <c r="N54" i="119"/>
  <c r="N56" i="119" s="1"/>
  <c r="R55" i="119"/>
  <c r="O54" i="119"/>
  <c r="O56" i="119" s="1"/>
  <c r="O125" i="119" s="1"/>
  <c r="W54" i="119"/>
  <c r="W56" i="119" s="1"/>
  <c r="W125" i="119" s="1"/>
  <c r="W60" i="119"/>
  <c r="W62" i="119" s="1"/>
  <c r="W105" i="119" s="1"/>
  <c r="W57" i="119"/>
  <c r="W59" i="119" s="1"/>
  <c r="W63" i="119"/>
  <c r="W65" i="119" s="1"/>
  <c r="W107" i="119" s="1"/>
  <c r="W66" i="119"/>
  <c r="O57" i="119"/>
  <c r="O59" i="119" s="1"/>
  <c r="O60" i="119"/>
  <c r="O62" i="119" s="1"/>
  <c r="O105" i="119" s="1"/>
  <c r="O63" i="119"/>
  <c r="O65" i="119" s="1"/>
  <c r="O107" i="119" s="1"/>
  <c r="O66" i="119"/>
  <c r="N60" i="119"/>
  <c r="N62" i="119" s="1"/>
  <c r="N105" i="119" s="1"/>
  <c r="N63" i="119"/>
  <c r="N65" i="119" s="1"/>
  <c r="N107" i="119" s="1"/>
  <c r="N66" i="119"/>
  <c r="V70" i="105"/>
  <c r="E60" i="136"/>
  <c r="E59" i="136"/>
  <c r="E58" i="136"/>
  <c r="C60" i="136"/>
  <c r="C59" i="136"/>
  <c r="C58" i="136"/>
  <c r="N22" i="135"/>
  <c r="R21" i="135"/>
  <c r="N21" i="135"/>
  <c r="L21" i="135"/>
  <c r="E53" i="136"/>
  <c r="E57" i="136"/>
  <c r="D1" i="135"/>
  <c r="Q8" i="135"/>
  <c r="Q12" i="135" s="1"/>
  <c r="P8" i="135"/>
  <c r="P12" i="135" s="1"/>
  <c r="S8" i="135"/>
  <c r="R8" i="135"/>
  <c r="Q9" i="135"/>
  <c r="P9" i="135"/>
  <c r="S9" i="135"/>
  <c r="S12" i="135" s="1"/>
  <c r="R9" i="135"/>
  <c r="R12" i="135" s="1"/>
  <c r="U254" i="134"/>
  <c r="U253" i="134"/>
  <c r="U252" i="134"/>
  <c r="U251" i="134"/>
  <c r="U250" i="134"/>
  <c r="U249" i="134"/>
  <c r="U248" i="134"/>
  <c r="U247" i="134"/>
  <c r="X247" i="134" s="1"/>
  <c r="U246" i="134"/>
  <c r="U245" i="134"/>
  <c r="U244" i="134"/>
  <c r="U243" i="134"/>
  <c r="U242" i="134"/>
  <c r="U241" i="134"/>
  <c r="U240" i="134"/>
  <c r="U239" i="134"/>
  <c r="X239" i="134" s="1"/>
  <c r="U238" i="134"/>
  <c r="U237" i="134"/>
  <c r="U236" i="134"/>
  <c r="U235" i="134"/>
  <c r="U234" i="134"/>
  <c r="U233" i="134"/>
  <c r="U232" i="134"/>
  <c r="U231" i="134"/>
  <c r="U230" i="134"/>
  <c r="U229" i="134"/>
  <c r="U228" i="134"/>
  <c r="U227" i="134"/>
  <c r="U226" i="134"/>
  <c r="U225" i="134"/>
  <c r="U224" i="134"/>
  <c r="U223" i="134"/>
  <c r="U222" i="134"/>
  <c r="U221" i="134"/>
  <c r="U220" i="134"/>
  <c r="U219" i="134"/>
  <c r="U218" i="134"/>
  <c r="U217" i="134"/>
  <c r="U216" i="134"/>
  <c r="U215" i="134"/>
  <c r="U214" i="134"/>
  <c r="U213" i="134"/>
  <c r="U212" i="134"/>
  <c r="U211" i="134"/>
  <c r="U210" i="134"/>
  <c r="U209" i="134"/>
  <c r="U208" i="134"/>
  <c r="U207" i="134"/>
  <c r="U206" i="134"/>
  <c r="U205" i="134"/>
  <c r="U204" i="134"/>
  <c r="U203" i="134"/>
  <c r="U202" i="134"/>
  <c r="U201" i="134"/>
  <c r="U200" i="134"/>
  <c r="U199" i="134"/>
  <c r="U198" i="134"/>
  <c r="U197" i="134"/>
  <c r="U196" i="134"/>
  <c r="U195" i="134"/>
  <c r="U194" i="134"/>
  <c r="U193" i="134"/>
  <c r="U192" i="134"/>
  <c r="U191" i="134"/>
  <c r="U190" i="134"/>
  <c r="U189" i="134"/>
  <c r="U188" i="134"/>
  <c r="U187" i="134"/>
  <c r="U186" i="134"/>
  <c r="U185" i="134"/>
  <c r="U184" i="134"/>
  <c r="U183" i="134"/>
  <c r="U182" i="134"/>
  <c r="U181" i="134"/>
  <c r="U180" i="134"/>
  <c r="U179" i="134"/>
  <c r="U178" i="134"/>
  <c r="U177" i="134"/>
  <c r="U176" i="134"/>
  <c r="U175" i="134"/>
  <c r="U174" i="134"/>
  <c r="U173" i="134"/>
  <c r="U172" i="134"/>
  <c r="U171" i="134"/>
  <c r="U170" i="134"/>
  <c r="U169" i="134"/>
  <c r="U168" i="134"/>
  <c r="U167" i="134"/>
  <c r="U166" i="134"/>
  <c r="U165" i="134"/>
  <c r="U164" i="134"/>
  <c r="U163" i="134"/>
  <c r="U162" i="134"/>
  <c r="U161" i="134"/>
  <c r="U160" i="134"/>
  <c r="U159" i="134"/>
  <c r="U158" i="134"/>
  <c r="U157" i="134"/>
  <c r="U156" i="134"/>
  <c r="U155" i="134"/>
  <c r="U154" i="134"/>
  <c r="U153" i="134"/>
  <c r="U152" i="134"/>
  <c r="U151" i="134"/>
  <c r="U150" i="134"/>
  <c r="U149" i="134"/>
  <c r="U148" i="134"/>
  <c r="U147" i="134"/>
  <c r="U146" i="134"/>
  <c r="U145" i="134"/>
  <c r="U144" i="134"/>
  <c r="U143" i="134"/>
  <c r="U142" i="134"/>
  <c r="U141" i="134"/>
  <c r="U140" i="134"/>
  <c r="U139" i="134"/>
  <c r="U138" i="134"/>
  <c r="U137" i="134"/>
  <c r="U136" i="134"/>
  <c r="U135" i="134"/>
  <c r="U134" i="134"/>
  <c r="U133" i="134"/>
  <c r="U132" i="134"/>
  <c r="U131" i="134"/>
  <c r="U130" i="134"/>
  <c r="U129" i="134"/>
  <c r="U128" i="134"/>
  <c r="U127" i="134"/>
  <c r="U126" i="134"/>
  <c r="U125" i="134"/>
  <c r="U124" i="134"/>
  <c r="U123" i="134"/>
  <c r="U122" i="134"/>
  <c r="U121" i="134"/>
  <c r="U120" i="134"/>
  <c r="U119" i="134"/>
  <c r="U118" i="134"/>
  <c r="U117" i="134"/>
  <c r="U116" i="134"/>
  <c r="U115" i="134"/>
  <c r="U114" i="134"/>
  <c r="U113" i="134"/>
  <c r="U112" i="134"/>
  <c r="U111" i="134"/>
  <c r="U110" i="134"/>
  <c r="U109" i="134"/>
  <c r="U108" i="134"/>
  <c r="U107" i="134"/>
  <c r="U106" i="134"/>
  <c r="U105" i="134"/>
  <c r="U104" i="134"/>
  <c r="U103" i="134"/>
  <c r="U102" i="134"/>
  <c r="U101" i="134"/>
  <c r="U100" i="134"/>
  <c r="U99" i="134"/>
  <c r="U98" i="134"/>
  <c r="U97" i="134"/>
  <c r="U96" i="134"/>
  <c r="U95" i="134"/>
  <c r="U94" i="134"/>
  <c r="U93" i="134"/>
  <c r="U92" i="134"/>
  <c r="U91" i="134"/>
  <c r="U90" i="134"/>
  <c r="U89" i="134"/>
  <c r="U88" i="134"/>
  <c r="U87" i="134"/>
  <c r="U86" i="134"/>
  <c r="U85" i="134"/>
  <c r="U84" i="134"/>
  <c r="U83" i="134"/>
  <c r="U82" i="134"/>
  <c r="U81" i="134"/>
  <c r="U80" i="134"/>
  <c r="U79" i="134"/>
  <c r="U78" i="134"/>
  <c r="U77" i="134"/>
  <c r="U76" i="134"/>
  <c r="U75" i="134"/>
  <c r="U74" i="134"/>
  <c r="U73" i="134"/>
  <c r="U72" i="134"/>
  <c r="U71" i="134"/>
  <c r="U70" i="134"/>
  <c r="U69" i="134"/>
  <c r="U68" i="134"/>
  <c r="U67" i="134"/>
  <c r="U66" i="134"/>
  <c r="U65" i="134"/>
  <c r="U64" i="134"/>
  <c r="U63" i="134"/>
  <c r="U62" i="134"/>
  <c r="U61" i="134"/>
  <c r="U60" i="134"/>
  <c r="U59" i="134"/>
  <c r="U58" i="134"/>
  <c r="U57" i="134"/>
  <c r="U56" i="134"/>
  <c r="U55" i="134"/>
  <c r="U54" i="134"/>
  <c r="U53" i="134"/>
  <c r="U52" i="134"/>
  <c r="U51" i="134"/>
  <c r="U50" i="134"/>
  <c r="U49" i="134"/>
  <c r="U48" i="134"/>
  <c r="U47" i="134"/>
  <c r="U46" i="134"/>
  <c r="U45" i="134"/>
  <c r="U44" i="134"/>
  <c r="U43" i="134"/>
  <c r="U42" i="134"/>
  <c r="U41" i="134"/>
  <c r="U40" i="134"/>
  <c r="U39" i="134"/>
  <c r="U38" i="134"/>
  <c r="U37" i="134"/>
  <c r="U36" i="134"/>
  <c r="U35" i="134"/>
  <c r="U34" i="134"/>
  <c r="U33" i="134"/>
  <c r="U32" i="134"/>
  <c r="U31" i="134"/>
  <c r="U30" i="134"/>
  <c r="U29" i="134"/>
  <c r="U28" i="134"/>
  <c r="U27" i="134"/>
  <c r="U26" i="134"/>
  <c r="U25" i="134"/>
  <c r="U24" i="134"/>
  <c r="U23" i="134"/>
  <c r="U22" i="134"/>
  <c r="U21" i="134"/>
  <c r="U20" i="134"/>
  <c r="U19" i="134"/>
  <c r="U18" i="134"/>
  <c r="U17" i="134"/>
  <c r="U16" i="134"/>
  <c r="U15" i="134"/>
  <c r="U7" i="134" s="1"/>
  <c r="U14" i="134"/>
  <c r="U13" i="134"/>
  <c r="U12" i="134"/>
  <c r="U11" i="134"/>
  <c r="U10" i="134"/>
  <c r="U9" i="134"/>
  <c r="Z7" i="134"/>
  <c r="K7" i="134"/>
  <c r="J7" i="134"/>
  <c r="I7" i="134"/>
  <c r="H7" i="134"/>
  <c r="G7" i="134"/>
  <c r="F7" i="134"/>
  <c r="E7" i="134"/>
  <c r="D7" i="134"/>
  <c r="Y254" i="134"/>
  <c r="W254" i="134"/>
  <c r="V254" i="134"/>
  <c r="T254" i="134"/>
  <c r="S254" i="134"/>
  <c r="R254" i="134"/>
  <c r="Q254" i="134"/>
  <c r="P254" i="134"/>
  <c r="Y253" i="134"/>
  <c r="AA253" i="134" s="1"/>
  <c r="W253" i="134"/>
  <c r="V253" i="134"/>
  <c r="T253" i="134"/>
  <c r="S253" i="134"/>
  <c r="R253" i="134"/>
  <c r="Q253" i="134"/>
  <c r="P253" i="134"/>
  <c r="Y252" i="134"/>
  <c r="W252" i="134"/>
  <c r="V252" i="134"/>
  <c r="T252" i="134"/>
  <c r="S252" i="134"/>
  <c r="R252" i="134"/>
  <c r="Q252" i="134"/>
  <c r="P252" i="134"/>
  <c r="Y251" i="134"/>
  <c r="AA251" i="134" s="1"/>
  <c r="W251" i="134"/>
  <c r="V251" i="134"/>
  <c r="T251" i="134"/>
  <c r="S251" i="134"/>
  <c r="R251" i="134"/>
  <c r="Q251" i="134"/>
  <c r="P251" i="134"/>
  <c r="Y250" i="134"/>
  <c r="AA250" i="134" s="1"/>
  <c r="W250" i="134"/>
  <c r="V250" i="134"/>
  <c r="T250" i="134"/>
  <c r="S250" i="134"/>
  <c r="R250" i="134"/>
  <c r="Q250" i="134"/>
  <c r="P250" i="134"/>
  <c r="Y249" i="134"/>
  <c r="W249" i="134"/>
  <c r="V249" i="134"/>
  <c r="T249" i="134"/>
  <c r="S249" i="134"/>
  <c r="R249" i="134"/>
  <c r="Q249" i="134"/>
  <c r="P249" i="134"/>
  <c r="Y248" i="134"/>
  <c r="AA248" i="134" s="1"/>
  <c r="W248" i="134"/>
  <c r="V248" i="134"/>
  <c r="T248" i="134"/>
  <c r="S248" i="134"/>
  <c r="R248" i="134"/>
  <c r="Q248" i="134"/>
  <c r="P248" i="134"/>
  <c r="Y247" i="134"/>
  <c r="W247" i="134"/>
  <c r="V247" i="134"/>
  <c r="T247" i="134"/>
  <c r="S247" i="134"/>
  <c r="R247" i="134"/>
  <c r="Q247" i="134"/>
  <c r="P247" i="134"/>
  <c r="Y246" i="134"/>
  <c r="W246" i="134"/>
  <c r="V246" i="134"/>
  <c r="T246" i="134"/>
  <c r="S246" i="134"/>
  <c r="R246" i="134"/>
  <c r="Q246" i="134"/>
  <c r="P246" i="134"/>
  <c r="Y245" i="134"/>
  <c r="W245" i="134"/>
  <c r="V245" i="134"/>
  <c r="T245" i="134"/>
  <c r="S245" i="134"/>
  <c r="R245" i="134"/>
  <c r="Q245" i="134"/>
  <c r="P245" i="134"/>
  <c r="Y244" i="134"/>
  <c r="W244" i="134"/>
  <c r="V244" i="134"/>
  <c r="T244" i="134"/>
  <c r="S244" i="134"/>
  <c r="R244" i="134"/>
  <c r="Q244" i="134"/>
  <c r="P244" i="134"/>
  <c r="Y243" i="134"/>
  <c r="AA243" i="134" s="1"/>
  <c r="W243" i="134"/>
  <c r="V243" i="134"/>
  <c r="T243" i="134"/>
  <c r="S243" i="134"/>
  <c r="R243" i="134"/>
  <c r="Q243" i="134"/>
  <c r="P243" i="134"/>
  <c r="Y242" i="134"/>
  <c r="AA242" i="134" s="1"/>
  <c r="W242" i="134"/>
  <c r="V242" i="134"/>
  <c r="T242" i="134"/>
  <c r="S242" i="134"/>
  <c r="R242" i="134"/>
  <c r="Q242" i="134"/>
  <c r="P242" i="134"/>
  <c r="Y241" i="134"/>
  <c r="W241" i="134"/>
  <c r="V241" i="134"/>
  <c r="T241" i="134"/>
  <c r="S241" i="134"/>
  <c r="R241" i="134"/>
  <c r="Q241" i="134"/>
  <c r="P241" i="134"/>
  <c r="Y240" i="134"/>
  <c r="AA240" i="134" s="1"/>
  <c r="W240" i="134"/>
  <c r="V240" i="134"/>
  <c r="T240" i="134"/>
  <c r="S240" i="134"/>
  <c r="R240" i="134"/>
  <c r="Q240" i="134"/>
  <c r="P240" i="134"/>
  <c r="Y239" i="134"/>
  <c r="W239" i="134"/>
  <c r="V239" i="134"/>
  <c r="T239" i="134"/>
  <c r="S239" i="134"/>
  <c r="R239" i="134"/>
  <c r="Q239" i="134"/>
  <c r="P239" i="134"/>
  <c r="Y238" i="134"/>
  <c r="W238" i="134"/>
  <c r="V238" i="134"/>
  <c r="T238" i="134"/>
  <c r="S238" i="134"/>
  <c r="R238" i="134"/>
  <c r="Q238" i="134"/>
  <c r="P238" i="134"/>
  <c r="Y237" i="134"/>
  <c r="W237" i="134"/>
  <c r="V237" i="134"/>
  <c r="T237" i="134"/>
  <c r="S237" i="134"/>
  <c r="R237" i="134"/>
  <c r="Q237" i="134"/>
  <c r="P237" i="134"/>
  <c r="Y236" i="134"/>
  <c r="AA236" i="134" s="1"/>
  <c r="W236" i="134"/>
  <c r="V236" i="134"/>
  <c r="T236" i="134"/>
  <c r="S236" i="134"/>
  <c r="R236" i="134"/>
  <c r="Q236" i="134"/>
  <c r="P236" i="134"/>
  <c r="Y235" i="134"/>
  <c r="W235" i="134"/>
  <c r="V235" i="134"/>
  <c r="T235" i="134"/>
  <c r="S235" i="134"/>
  <c r="R235" i="134"/>
  <c r="Q235" i="134"/>
  <c r="P235" i="134"/>
  <c r="Y234" i="134"/>
  <c r="AA234" i="134" s="1"/>
  <c r="W234" i="134"/>
  <c r="V234" i="134"/>
  <c r="T234" i="134"/>
  <c r="S234" i="134"/>
  <c r="R234" i="134"/>
  <c r="Q234" i="134"/>
  <c r="P234" i="134"/>
  <c r="L254" i="134"/>
  <c r="O254" i="134" s="1"/>
  <c r="L253" i="134"/>
  <c r="O253" i="134" s="1"/>
  <c r="L252" i="134"/>
  <c r="O252" i="134" s="1"/>
  <c r="L251" i="134"/>
  <c r="O251" i="134"/>
  <c r="L250" i="134"/>
  <c r="O250" i="134" s="1"/>
  <c r="L249" i="134"/>
  <c r="O249" i="134" s="1"/>
  <c r="L248" i="134"/>
  <c r="O248" i="134" s="1"/>
  <c r="L247" i="134"/>
  <c r="O247" i="134"/>
  <c r="L246" i="134"/>
  <c r="O246" i="134" s="1"/>
  <c r="L245" i="134"/>
  <c r="O245" i="134" s="1"/>
  <c r="L244" i="134"/>
  <c r="O244" i="134" s="1"/>
  <c r="L243" i="134"/>
  <c r="O243" i="134"/>
  <c r="L242" i="134"/>
  <c r="O242" i="134" s="1"/>
  <c r="L241" i="134"/>
  <c r="O241" i="134" s="1"/>
  <c r="L240" i="134"/>
  <c r="O240" i="134" s="1"/>
  <c r="L239" i="134"/>
  <c r="O239" i="134"/>
  <c r="L238" i="134"/>
  <c r="O238" i="134" s="1"/>
  <c r="L237" i="134"/>
  <c r="O237" i="134" s="1"/>
  <c r="L236" i="134"/>
  <c r="O236" i="134" s="1"/>
  <c r="L235" i="134"/>
  <c r="X235" i="134"/>
  <c r="AA235" i="134" s="1"/>
  <c r="X236" i="134"/>
  <c r="X237" i="134"/>
  <c r="X240" i="134"/>
  <c r="X241" i="134"/>
  <c r="X243" i="134"/>
  <c r="X244" i="134"/>
  <c r="X245" i="134"/>
  <c r="AA245" i="134"/>
  <c r="X248" i="134"/>
  <c r="X249" i="134"/>
  <c r="X251" i="134"/>
  <c r="X252" i="134"/>
  <c r="X253" i="134"/>
  <c r="X254" i="134"/>
  <c r="AA254" i="134" s="1"/>
  <c r="X234" i="134"/>
  <c r="X238" i="134"/>
  <c r="X242" i="134"/>
  <c r="X246" i="134"/>
  <c r="X250" i="134"/>
  <c r="O9" i="135"/>
  <c r="N9" i="135"/>
  <c r="O8" i="135"/>
  <c r="O12" i="135" s="1"/>
  <c r="N8" i="135"/>
  <c r="M8" i="135"/>
  <c r="M12" i="135" s="1"/>
  <c r="L8" i="135"/>
  <c r="L12" i="135" s="1"/>
  <c r="I8" i="135"/>
  <c r="I12" i="135" s="1"/>
  <c r="H8" i="135"/>
  <c r="H12" i="135"/>
  <c r="K8" i="135"/>
  <c r="K12" i="135" s="1"/>
  <c r="J8" i="135"/>
  <c r="J12" i="135" s="1"/>
  <c r="G10" i="135"/>
  <c r="G12" i="135" s="1"/>
  <c r="F10" i="135"/>
  <c r="F12" i="135" s="1"/>
  <c r="E10" i="135"/>
  <c r="E12" i="135" s="1"/>
  <c r="F13" i="135" s="1"/>
  <c r="D10" i="135"/>
  <c r="D12" i="135" s="1"/>
  <c r="E8" i="135"/>
  <c r="D8" i="135"/>
  <c r="E13" i="129"/>
  <c r="F13" i="129"/>
  <c r="G13" i="129"/>
  <c r="H13" i="129"/>
  <c r="I13" i="129"/>
  <c r="J13" i="129"/>
  <c r="K13" i="129"/>
  <c r="L13" i="129"/>
  <c r="M13" i="129"/>
  <c r="N13" i="129"/>
  <c r="O13" i="129"/>
  <c r="P13" i="129"/>
  <c r="E201" i="129"/>
  <c r="E199" i="129" s="1"/>
  <c r="E202" i="129"/>
  <c r="E203" i="129"/>
  <c r="E204" i="129"/>
  <c r="E200" i="129" s="1"/>
  <c r="E205" i="129"/>
  <c r="E206" i="129"/>
  <c r="F201" i="129"/>
  <c r="F199" i="129" s="1"/>
  <c r="F202" i="129"/>
  <c r="F203" i="129"/>
  <c r="F204" i="129"/>
  <c r="F205" i="129"/>
  <c r="F206" i="129"/>
  <c r="G201" i="129"/>
  <c r="G199" i="129" s="1"/>
  <c r="G202" i="129"/>
  <c r="G203" i="129"/>
  <c r="G204" i="129"/>
  <c r="G205" i="129"/>
  <c r="G206" i="129"/>
  <c r="H201" i="129"/>
  <c r="H199" i="129" s="1"/>
  <c r="H202" i="129"/>
  <c r="H203" i="129"/>
  <c r="H204" i="129"/>
  <c r="H205" i="129"/>
  <c r="H206" i="129"/>
  <c r="I201" i="129"/>
  <c r="I199" i="129" s="1"/>
  <c r="I202" i="129"/>
  <c r="I203" i="129"/>
  <c r="I204" i="129"/>
  <c r="I205" i="129"/>
  <c r="I206" i="129"/>
  <c r="J201" i="129"/>
  <c r="J199" i="129" s="1"/>
  <c r="J202" i="129"/>
  <c r="J203" i="129"/>
  <c r="J204" i="129"/>
  <c r="J205" i="129"/>
  <c r="J206" i="129"/>
  <c r="K201" i="129"/>
  <c r="K199" i="129" s="1"/>
  <c r="K202" i="129"/>
  <c r="K203" i="129"/>
  <c r="K204" i="129"/>
  <c r="K205" i="129"/>
  <c r="K206" i="129"/>
  <c r="L201" i="129"/>
  <c r="L199" i="129" s="1"/>
  <c r="L202" i="129"/>
  <c r="L203" i="129"/>
  <c r="L204" i="129"/>
  <c r="L205" i="129"/>
  <c r="L206" i="129"/>
  <c r="M201" i="129"/>
  <c r="M199" i="129" s="1"/>
  <c r="M202" i="129"/>
  <c r="M203" i="129"/>
  <c r="M204" i="129"/>
  <c r="M205" i="129"/>
  <c r="M206" i="129"/>
  <c r="N201" i="129"/>
  <c r="N199" i="129" s="1"/>
  <c r="N202" i="129"/>
  <c r="N203" i="129"/>
  <c r="N204" i="129"/>
  <c r="N205" i="129"/>
  <c r="N206" i="129"/>
  <c r="O201" i="129"/>
  <c r="O199" i="129" s="1"/>
  <c r="O202" i="129"/>
  <c r="O203" i="129"/>
  <c r="O204" i="129"/>
  <c r="O205" i="129"/>
  <c r="O206" i="129"/>
  <c r="P201" i="129"/>
  <c r="P199" i="129" s="1"/>
  <c r="P202" i="129"/>
  <c r="P203" i="129"/>
  <c r="P204" i="129"/>
  <c r="P205" i="129"/>
  <c r="P206" i="129"/>
  <c r="E207" i="129"/>
  <c r="F207" i="129"/>
  <c r="G207" i="129"/>
  <c r="H207" i="129"/>
  <c r="I207" i="129"/>
  <c r="J207" i="129"/>
  <c r="K207" i="129"/>
  <c r="L207" i="129"/>
  <c r="M207" i="129"/>
  <c r="N207" i="129"/>
  <c r="O207" i="129"/>
  <c r="P207" i="129"/>
  <c r="E219" i="129"/>
  <c r="F219" i="129"/>
  <c r="G219" i="129"/>
  <c r="H219" i="129"/>
  <c r="I219" i="129"/>
  <c r="J219" i="129"/>
  <c r="K219" i="129"/>
  <c r="L219" i="129"/>
  <c r="M219" i="129"/>
  <c r="N219" i="129"/>
  <c r="O219" i="129"/>
  <c r="P219" i="129"/>
  <c r="E226" i="129"/>
  <c r="F226" i="129"/>
  <c r="G226" i="129"/>
  <c r="H226" i="129"/>
  <c r="I226" i="129"/>
  <c r="J226" i="129"/>
  <c r="K226" i="129"/>
  <c r="L226" i="129"/>
  <c r="M226" i="129"/>
  <c r="N226" i="129"/>
  <c r="O226" i="129"/>
  <c r="P226" i="129"/>
  <c r="E72" i="129"/>
  <c r="E71" i="129" s="1"/>
  <c r="E73" i="129"/>
  <c r="F72" i="129"/>
  <c r="F73" i="129"/>
  <c r="G72" i="129"/>
  <c r="G73" i="129"/>
  <c r="H72" i="129"/>
  <c r="H73" i="129"/>
  <c r="I72" i="129"/>
  <c r="I73" i="129"/>
  <c r="J72" i="129"/>
  <c r="J73" i="129"/>
  <c r="J71" i="129" s="1"/>
  <c r="K72" i="129"/>
  <c r="K73" i="129"/>
  <c r="L72" i="129"/>
  <c r="L71" i="129" s="1"/>
  <c r="L73" i="129"/>
  <c r="M72" i="129"/>
  <c r="M71" i="129" s="1"/>
  <c r="M73" i="129"/>
  <c r="N72" i="129"/>
  <c r="N71" i="129" s="1"/>
  <c r="N84" i="129" s="1"/>
  <c r="N85" i="129" s="1"/>
  <c r="N73" i="129"/>
  <c r="O72" i="129"/>
  <c r="O73" i="129"/>
  <c r="O71" i="129" s="1"/>
  <c r="O84" i="129" s="1"/>
  <c r="P72" i="129"/>
  <c r="P71" i="129" s="1"/>
  <c r="P84" i="129" s="1"/>
  <c r="P73" i="129"/>
  <c r="E74" i="129"/>
  <c r="F74" i="129"/>
  <c r="G74" i="129"/>
  <c r="H74" i="129"/>
  <c r="I74" i="129"/>
  <c r="J74" i="129"/>
  <c r="J101" i="129" s="1"/>
  <c r="J100" i="129" s="1"/>
  <c r="J104" i="129" s="1"/>
  <c r="J111" i="129" s="1"/>
  <c r="K74" i="129"/>
  <c r="L74" i="129"/>
  <c r="M74" i="129"/>
  <c r="N74" i="129"/>
  <c r="O74" i="129"/>
  <c r="P74" i="129"/>
  <c r="P101" i="129" s="1"/>
  <c r="E86" i="129"/>
  <c r="F86" i="129"/>
  <c r="G86" i="129"/>
  <c r="H86" i="129"/>
  <c r="I86" i="129"/>
  <c r="J86" i="129"/>
  <c r="K86" i="129"/>
  <c r="L86" i="129"/>
  <c r="M86" i="129"/>
  <c r="N86" i="129"/>
  <c r="N102" i="129" s="1"/>
  <c r="N100" i="129" s="1"/>
  <c r="N104" i="129" s="1"/>
  <c r="N111" i="129" s="1"/>
  <c r="O86" i="129"/>
  <c r="P86" i="129"/>
  <c r="U10" i="129"/>
  <c r="E20" i="129"/>
  <c r="E29" i="129"/>
  <c r="E30" i="129"/>
  <c r="F20" i="129"/>
  <c r="F28" i="129" s="1"/>
  <c r="F29" i="129"/>
  <c r="D29" i="129" s="1"/>
  <c r="F30" i="129"/>
  <c r="G20" i="129"/>
  <c r="G28" i="129" s="1"/>
  <c r="G29" i="129"/>
  <c r="G30" i="129"/>
  <c r="H20" i="129"/>
  <c r="H28" i="129" s="1"/>
  <c r="H29" i="129"/>
  <c r="H30" i="129"/>
  <c r="I20" i="129"/>
  <c r="I28" i="129" s="1"/>
  <c r="I27" i="129" s="1"/>
  <c r="I42" i="129" s="1"/>
  <c r="I53" i="129" s="1"/>
  <c r="I54" i="129" s="1"/>
  <c r="I29" i="129"/>
  <c r="I30" i="129"/>
  <c r="J20" i="129"/>
  <c r="J28" i="129" s="1"/>
  <c r="J29" i="129"/>
  <c r="J30" i="129"/>
  <c r="K20" i="129"/>
  <c r="K28" i="129" s="1"/>
  <c r="K29" i="129"/>
  <c r="K30" i="129"/>
  <c r="L20" i="129"/>
  <c r="L28" i="129" s="1"/>
  <c r="L29" i="129"/>
  <c r="L30" i="129"/>
  <c r="M20" i="129"/>
  <c r="M28" i="129" s="1"/>
  <c r="M27" i="129" s="1"/>
  <c r="M42" i="129" s="1"/>
  <c r="M29" i="129"/>
  <c r="M30" i="129"/>
  <c r="N20" i="129"/>
  <c r="N28" i="129" s="1"/>
  <c r="N29" i="129"/>
  <c r="N30" i="129"/>
  <c r="O20" i="129"/>
  <c r="O28" i="129"/>
  <c r="O29" i="129"/>
  <c r="O30" i="129"/>
  <c r="O27" i="129"/>
  <c r="O42" i="129" s="1"/>
  <c r="O43" i="129" s="1"/>
  <c r="P20" i="129"/>
  <c r="P28" i="129" s="1"/>
  <c r="P29" i="129"/>
  <c r="P30" i="129"/>
  <c r="E31" i="129"/>
  <c r="F31" i="129"/>
  <c r="G31" i="129"/>
  <c r="H31" i="129"/>
  <c r="H57" i="129" s="1"/>
  <c r="H61" i="129" s="1"/>
  <c r="I31" i="129"/>
  <c r="I57" i="129" s="1"/>
  <c r="I61" i="129" s="1"/>
  <c r="J31" i="129"/>
  <c r="K31" i="129"/>
  <c r="L31" i="129"/>
  <c r="M31" i="129"/>
  <c r="N31" i="129"/>
  <c r="O31" i="129"/>
  <c r="P31" i="129"/>
  <c r="P57" i="129" s="1"/>
  <c r="P61" i="129" s="1"/>
  <c r="E44" i="129"/>
  <c r="E58" i="129" s="1"/>
  <c r="E56" i="129" s="1"/>
  <c r="E60" i="129" s="1"/>
  <c r="F44" i="129"/>
  <c r="G44" i="129"/>
  <c r="H44" i="129"/>
  <c r="I44" i="129"/>
  <c r="J44" i="129"/>
  <c r="K44" i="129"/>
  <c r="L44" i="129"/>
  <c r="M44" i="129"/>
  <c r="M58" i="129" s="1"/>
  <c r="N44" i="129"/>
  <c r="O44" i="129"/>
  <c r="P44" i="129"/>
  <c r="E51" i="129"/>
  <c r="F51" i="129"/>
  <c r="G51" i="129"/>
  <c r="G59" i="129" s="1"/>
  <c r="H51" i="129"/>
  <c r="H59" i="129" s="1"/>
  <c r="I51" i="129"/>
  <c r="I59" i="129" s="1"/>
  <c r="J51" i="129"/>
  <c r="K51" i="129"/>
  <c r="L51" i="129"/>
  <c r="M51" i="129"/>
  <c r="N51" i="129"/>
  <c r="O51" i="129"/>
  <c r="O59" i="129" s="1"/>
  <c r="P51" i="129"/>
  <c r="P59" i="129" s="1"/>
  <c r="E95" i="129"/>
  <c r="E164" i="129"/>
  <c r="F95" i="129"/>
  <c r="F164" i="129"/>
  <c r="G95" i="129"/>
  <c r="G164" i="129"/>
  <c r="H95" i="129"/>
  <c r="H164" i="129"/>
  <c r="I95" i="129"/>
  <c r="I103" i="129" s="1"/>
  <c r="I164" i="129"/>
  <c r="J95" i="129"/>
  <c r="J164" i="129"/>
  <c r="K95" i="129"/>
  <c r="K164" i="129"/>
  <c r="L95" i="129"/>
  <c r="L164" i="129"/>
  <c r="M95" i="129"/>
  <c r="M103" i="129" s="1"/>
  <c r="M164" i="129"/>
  <c r="N95" i="129"/>
  <c r="N164" i="129"/>
  <c r="O95" i="129"/>
  <c r="O164" i="129"/>
  <c r="P95" i="129"/>
  <c r="P103" i="129" s="1"/>
  <c r="P164" i="129"/>
  <c r="P172" i="129" s="1"/>
  <c r="E157" i="129"/>
  <c r="F157" i="129"/>
  <c r="G157" i="129"/>
  <c r="G9" i="129" s="1"/>
  <c r="H157" i="129"/>
  <c r="I157" i="129"/>
  <c r="J157" i="129"/>
  <c r="K157" i="129"/>
  <c r="K9" i="129" s="1"/>
  <c r="L157" i="129"/>
  <c r="M157" i="129"/>
  <c r="M171" i="129" s="1"/>
  <c r="M169" i="129" s="1"/>
  <c r="N157" i="129"/>
  <c r="O157" i="129"/>
  <c r="O9" i="129" s="1"/>
  <c r="P157" i="129"/>
  <c r="E149" i="129"/>
  <c r="F149" i="129"/>
  <c r="G149" i="129"/>
  <c r="H149" i="129"/>
  <c r="I149" i="129"/>
  <c r="J149" i="129"/>
  <c r="K149" i="129"/>
  <c r="L149" i="129"/>
  <c r="M149" i="129"/>
  <c r="N149" i="129"/>
  <c r="O149" i="129"/>
  <c r="P149" i="129"/>
  <c r="P6" i="129" s="1"/>
  <c r="D230" i="129"/>
  <c r="W13" i="129" s="1"/>
  <c r="D185" i="129"/>
  <c r="D186" i="129"/>
  <c r="D187" i="129"/>
  <c r="D189" i="129"/>
  <c r="D190" i="129"/>
  <c r="D191" i="129"/>
  <c r="D15" i="136" s="1"/>
  <c r="D179" i="129"/>
  <c r="D180" i="129"/>
  <c r="D181" i="129"/>
  <c r="D182" i="129"/>
  <c r="D183" i="129"/>
  <c r="D168" i="129"/>
  <c r="V13" i="129" s="1"/>
  <c r="D99" i="129"/>
  <c r="U13" i="129" s="1"/>
  <c r="D55" i="129"/>
  <c r="T13" i="129" s="1"/>
  <c r="D66" i="129"/>
  <c r="D67" i="129"/>
  <c r="D64" i="129"/>
  <c r="D63" i="129" s="1"/>
  <c r="D21" i="129"/>
  <c r="D17" i="129"/>
  <c r="D16" i="129" s="1"/>
  <c r="T3" i="129" s="1"/>
  <c r="D18" i="129"/>
  <c r="N184" i="129"/>
  <c r="M184" i="129"/>
  <c r="L184" i="129"/>
  <c r="K184" i="129"/>
  <c r="J184" i="129"/>
  <c r="I184" i="129"/>
  <c r="H184" i="129"/>
  <c r="G184" i="129"/>
  <c r="F184" i="129"/>
  <c r="E184" i="129"/>
  <c r="P119" i="129"/>
  <c r="P146" i="129"/>
  <c r="P145" i="129"/>
  <c r="E65" i="129"/>
  <c r="Y142" i="134"/>
  <c r="Y12" i="134"/>
  <c r="Y11" i="134"/>
  <c r="Y10" i="134"/>
  <c r="Y9" i="134"/>
  <c r="Y13" i="134"/>
  <c r="Y14" i="134"/>
  <c r="Y15" i="134"/>
  <c r="Y16" i="134"/>
  <c r="Y17" i="134"/>
  <c r="Y18" i="134"/>
  <c r="Y19" i="134"/>
  <c r="Y20" i="134"/>
  <c r="Y21" i="134"/>
  <c r="Y22" i="134"/>
  <c r="Y23" i="134"/>
  <c r="Y24" i="134"/>
  <c r="Y25" i="134"/>
  <c r="Y26" i="134"/>
  <c r="Y27" i="134"/>
  <c r="Y28" i="134"/>
  <c r="Y29" i="134"/>
  <c r="Y30" i="134"/>
  <c r="Y31" i="134"/>
  <c r="Y32" i="134"/>
  <c r="Y33" i="134"/>
  <c r="Y34" i="134"/>
  <c r="Y35" i="134"/>
  <c r="Y36" i="134"/>
  <c r="Y37" i="134"/>
  <c r="Y38" i="134"/>
  <c r="Y39" i="134"/>
  <c r="Y40" i="134"/>
  <c r="Y41" i="134"/>
  <c r="Y42" i="134"/>
  <c r="Y43" i="134"/>
  <c r="Y44" i="134"/>
  <c r="Y45" i="134"/>
  <c r="Y46" i="134"/>
  <c r="Y47" i="134"/>
  <c r="Y48" i="134"/>
  <c r="Y49" i="134"/>
  <c r="Y50" i="134"/>
  <c r="Y51" i="134"/>
  <c r="Y52" i="134"/>
  <c r="Y53" i="134"/>
  <c r="Y54" i="134"/>
  <c r="Y55" i="134"/>
  <c r="Y56" i="134"/>
  <c r="Y57" i="134"/>
  <c r="Y58" i="134"/>
  <c r="Y59" i="134"/>
  <c r="Y60" i="134"/>
  <c r="Y61" i="134"/>
  <c r="Y62" i="134"/>
  <c r="Y63" i="134"/>
  <c r="Y64" i="134"/>
  <c r="Y65" i="134"/>
  <c r="Y66" i="134"/>
  <c r="Y67" i="134"/>
  <c r="Y68" i="134"/>
  <c r="Y69" i="134"/>
  <c r="Y70" i="134"/>
  <c r="Y71" i="134"/>
  <c r="Y72" i="134"/>
  <c r="Y73" i="134"/>
  <c r="Y74" i="134"/>
  <c r="Y75" i="134"/>
  <c r="Y76" i="134"/>
  <c r="Y77" i="134"/>
  <c r="Y78" i="134"/>
  <c r="Y79" i="134"/>
  <c r="Y80" i="134"/>
  <c r="Y81" i="134"/>
  <c r="Y82" i="134"/>
  <c r="Y83" i="134"/>
  <c r="Y84" i="134"/>
  <c r="Y85" i="134"/>
  <c r="Y86" i="134"/>
  <c r="Y87" i="134"/>
  <c r="Y88" i="134"/>
  <c r="Y89" i="134"/>
  <c r="Y90" i="134"/>
  <c r="Y91" i="134"/>
  <c r="Y92" i="134"/>
  <c r="Y93" i="134"/>
  <c r="Y94" i="134"/>
  <c r="Y95" i="134"/>
  <c r="Y96" i="134"/>
  <c r="Y97" i="134"/>
  <c r="Y98" i="134"/>
  <c r="Y99" i="134"/>
  <c r="Y100" i="134"/>
  <c r="Y101" i="134"/>
  <c r="Y102" i="134"/>
  <c r="Y103" i="134"/>
  <c r="Y104" i="134"/>
  <c r="Y105" i="134"/>
  <c r="Y106" i="134"/>
  <c r="Y107" i="134"/>
  <c r="Y108" i="134"/>
  <c r="Y109" i="134"/>
  <c r="Y110" i="134"/>
  <c r="Y111" i="134"/>
  <c r="Y112" i="134"/>
  <c r="Y113" i="134"/>
  <c r="Y114" i="134"/>
  <c r="Y115" i="134"/>
  <c r="Y116" i="134"/>
  <c r="Y117" i="134"/>
  <c r="Y118" i="134"/>
  <c r="Y119" i="134"/>
  <c r="Y120" i="134"/>
  <c r="Y121" i="134"/>
  <c r="Y122" i="134"/>
  <c r="Y123" i="134"/>
  <c r="Y124" i="134"/>
  <c r="Y125" i="134"/>
  <c r="Y126" i="134"/>
  <c r="Y127" i="134"/>
  <c r="Y128" i="134"/>
  <c r="Y129" i="134"/>
  <c r="Y130" i="134"/>
  <c r="Y131" i="134"/>
  <c r="Y132" i="134"/>
  <c r="Y133" i="134"/>
  <c r="Y134" i="134"/>
  <c r="Y135" i="134"/>
  <c r="Y136" i="134"/>
  <c r="Y137" i="134"/>
  <c r="Y138" i="134"/>
  <c r="Y139" i="134"/>
  <c r="Y140" i="134"/>
  <c r="Y141" i="134"/>
  <c r="Y204" i="134"/>
  <c r="Y203" i="134"/>
  <c r="Y202" i="134"/>
  <c r="Y201" i="134"/>
  <c r="Y200" i="134"/>
  <c r="Y199" i="134"/>
  <c r="Y198" i="134"/>
  <c r="Y197" i="134"/>
  <c r="Y196" i="134"/>
  <c r="Y195" i="134"/>
  <c r="Y194" i="134"/>
  <c r="Y193" i="134"/>
  <c r="Y192" i="134"/>
  <c r="Y191" i="134"/>
  <c r="Y190" i="134"/>
  <c r="Y189" i="134"/>
  <c r="Y188" i="134"/>
  <c r="Y187" i="134"/>
  <c r="Y186" i="134"/>
  <c r="Y185" i="134"/>
  <c r="Y184" i="134"/>
  <c r="Y183" i="134"/>
  <c r="Y182" i="134"/>
  <c r="Y181" i="134"/>
  <c r="Y180" i="134"/>
  <c r="Y179" i="134"/>
  <c r="Y178" i="134"/>
  <c r="Y177" i="134"/>
  <c r="Y176" i="134"/>
  <c r="Y175" i="134"/>
  <c r="Y174" i="134"/>
  <c r="Y173" i="134"/>
  <c r="Y172" i="134"/>
  <c r="Y171" i="134"/>
  <c r="Y170" i="134"/>
  <c r="Y169" i="134"/>
  <c r="Y168" i="134"/>
  <c r="Y167" i="134"/>
  <c r="Y166" i="134"/>
  <c r="Y165" i="134"/>
  <c r="Y164" i="134"/>
  <c r="Y163" i="134"/>
  <c r="Y162" i="134"/>
  <c r="Y161" i="134"/>
  <c r="Y160" i="134"/>
  <c r="Y159" i="134"/>
  <c r="Y158" i="134"/>
  <c r="Y157" i="134"/>
  <c r="Y156" i="134"/>
  <c r="Y155" i="134"/>
  <c r="Y154" i="134"/>
  <c r="Y153" i="134"/>
  <c r="Y152" i="134"/>
  <c r="Y151" i="134"/>
  <c r="Y150" i="134"/>
  <c r="Y149" i="134"/>
  <c r="Y148" i="134"/>
  <c r="Y147" i="134"/>
  <c r="Y146" i="134"/>
  <c r="Y145" i="134"/>
  <c r="Y144" i="134"/>
  <c r="Y143" i="134"/>
  <c r="Y205" i="134"/>
  <c r="Y219" i="134"/>
  <c r="Y218" i="134"/>
  <c r="Y217" i="134"/>
  <c r="Y216" i="134"/>
  <c r="Y215" i="134"/>
  <c r="Y214" i="134"/>
  <c r="Y213" i="134"/>
  <c r="Y212" i="134"/>
  <c r="Y211" i="134"/>
  <c r="Y210" i="134"/>
  <c r="Y209" i="134"/>
  <c r="Y208" i="134"/>
  <c r="Y207" i="134"/>
  <c r="Y206" i="134"/>
  <c r="N12" i="135"/>
  <c r="Y221" i="134"/>
  <c r="Y222" i="134"/>
  <c r="Y223" i="134"/>
  <c r="Y224" i="134"/>
  <c r="Y225" i="134"/>
  <c r="Y226" i="134"/>
  <c r="Y227" i="134"/>
  <c r="Y228" i="134"/>
  <c r="Y229" i="134"/>
  <c r="Y230" i="134"/>
  <c r="Y231" i="134"/>
  <c r="Y232" i="134"/>
  <c r="Y233" i="134"/>
  <c r="Y220" i="134"/>
  <c r="L10" i="134"/>
  <c r="O10" i="134" s="1"/>
  <c r="L11" i="134"/>
  <c r="O11" i="134" s="1"/>
  <c r="L12" i="134"/>
  <c r="O12" i="134"/>
  <c r="L13" i="134"/>
  <c r="O13" i="134" s="1"/>
  <c r="L14" i="134"/>
  <c r="O14" i="134" s="1"/>
  <c r="L15" i="134"/>
  <c r="O15" i="134" s="1"/>
  <c r="L16" i="134"/>
  <c r="O16" i="134"/>
  <c r="L17" i="134"/>
  <c r="O17" i="134" s="1"/>
  <c r="L18" i="134"/>
  <c r="O18" i="134" s="1"/>
  <c r="L19" i="134"/>
  <c r="O19" i="134" s="1"/>
  <c r="L20" i="134"/>
  <c r="O20" i="134"/>
  <c r="L21" i="134"/>
  <c r="O21" i="134" s="1"/>
  <c r="L22" i="134"/>
  <c r="O22" i="134" s="1"/>
  <c r="L23" i="134"/>
  <c r="O23" i="134" s="1"/>
  <c r="L24" i="134"/>
  <c r="O24" i="134"/>
  <c r="L25" i="134"/>
  <c r="O25" i="134" s="1"/>
  <c r="L26" i="134"/>
  <c r="O26" i="134" s="1"/>
  <c r="L27" i="134"/>
  <c r="O27" i="134" s="1"/>
  <c r="L28" i="134"/>
  <c r="O28" i="134"/>
  <c r="L29" i="134"/>
  <c r="O29" i="134" s="1"/>
  <c r="L30" i="134"/>
  <c r="O30" i="134" s="1"/>
  <c r="L31" i="134"/>
  <c r="O31" i="134" s="1"/>
  <c r="L32" i="134"/>
  <c r="O32" i="134"/>
  <c r="L33" i="134"/>
  <c r="O33" i="134" s="1"/>
  <c r="L34" i="134"/>
  <c r="O34" i="134" s="1"/>
  <c r="L35" i="134"/>
  <c r="O35" i="134" s="1"/>
  <c r="L36" i="134"/>
  <c r="O36" i="134"/>
  <c r="L37" i="134"/>
  <c r="O37" i="134" s="1"/>
  <c r="L38" i="134"/>
  <c r="O38" i="134" s="1"/>
  <c r="L39" i="134"/>
  <c r="O39" i="134" s="1"/>
  <c r="L40" i="134"/>
  <c r="O40" i="134"/>
  <c r="L41" i="134"/>
  <c r="O41" i="134" s="1"/>
  <c r="L42" i="134"/>
  <c r="O42" i="134" s="1"/>
  <c r="L43" i="134"/>
  <c r="O43" i="134" s="1"/>
  <c r="L44" i="134"/>
  <c r="O44" i="134"/>
  <c r="L45" i="134"/>
  <c r="O45" i="134" s="1"/>
  <c r="L46" i="134"/>
  <c r="O46" i="134" s="1"/>
  <c r="L47" i="134"/>
  <c r="O47" i="134" s="1"/>
  <c r="L48" i="134"/>
  <c r="O48" i="134"/>
  <c r="L49" i="134"/>
  <c r="O49" i="134" s="1"/>
  <c r="L50" i="134"/>
  <c r="O50" i="134" s="1"/>
  <c r="L51" i="134"/>
  <c r="O51" i="134" s="1"/>
  <c r="L52" i="134"/>
  <c r="O52" i="134"/>
  <c r="L53" i="134"/>
  <c r="O53" i="134" s="1"/>
  <c r="L54" i="134"/>
  <c r="O54" i="134" s="1"/>
  <c r="L55" i="134"/>
  <c r="O55" i="134" s="1"/>
  <c r="L56" i="134"/>
  <c r="O56" i="134"/>
  <c r="L57" i="134"/>
  <c r="O57" i="134" s="1"/>
  <c r="L58" i="134"/>
  <c r="O58" i="134" s="1"/>
  <c r="L59" i="134"/>
  <c r="O59" i="134" s="1"/>
  <c r="L60" i="134"/>
  <c r="O60" i="134"/>
  <c r="L61" i="134"/>
  <c r="O61" i="134" s="1"/>
  <c r="L62" i="134"/>
  <c r="O62" i="134" s="1"/>
  <c r="L63" i="134"/>
  <c r="O63" i="134" s="1"/>
  <c r="L64" i="134"/>
  <c r="O64" i="134"/>
  <c r="L65" i="134"/>
  <c r="O65" i="134" s="1"/>
  <c r="L66" i="134"/>
  <c r="O66" i="134" s="1"/>
  <c r="L67" i="134"/>
  <c r="O67" i="134" s="1"/>
  <c r="L68" i="134"/>
  <c r="O68" i="134"/>
  <c r="L69" i="134"/>
  <c r="O69" i="134" s="1"/>
  <c r="L70" i="134"/>
  <c r="O70" i="134" s="1"/>
  <c r="L71" i="134"/>
  <c r="O71" i="134" s="1"/>
  <c r="L72" i="134"/>
  <c r="O72" i="134"/>
  <c r="L73" i="134"/>
  <c r="O73" i="134" s="1"/>
  <c r="L74" i="134"/>
  <c r="O74" i="134" s="1"/>
  <c r="L75" i="134"/>
  <c r="O75" i="134" s="1"/>
  <c r="L76" i="134"/>
  <c r="O76" i="134"/>
  <c r="L77" i="134"/>
  <c r="O77" i="134" s="1"/>
  <c r="L78" i="134"/>
  <c r="O78" i="134" s="1"/>
  <c r="L79" i="134"/>
  <c r="O79" i="134" s="1"/>
  <c r="L80" i="134"/>
  <c r="O80" i="134"/>
  <c r="L81" i="134"/>
  <c r="O81" i="134" s="1"/>
  <c r="L82" i="134"/>
  <c r="O82" i="134" s="1"/>
  <c r="L83" i="134"/>
  <c r="O83" i="134" s="1"/>
  <c r="L84" i="134"/>
  <c r="O84" i="134"/>
  <c r="L85" i="134"/>
  <c r="O85" i="134" s="1"/>
  <c r="L86" i="134"/>
  <c r="O86" i="134" s="1"/>
  <c r="L87" i="134"/>
  <c r="O87" i="134" s="1"/>
  <c r="L88" i="134"/>
  <c r="O88" i="134"/>
  <c r="L89" i="134"/>
  <c r="O89" i="134" s="1"/>
  <c r="L90" i="134"/>
  <c r="O90" i="134" s="1"/>
  <c r="L91" i="134"/>
  <c r="O91" i="134" s="1"/>
  <c r="L92" i="134"/>
  <c r="O92" i="134"/>
  <c r="L93" i="134"/>
  <c r="O93" i="134" s="1"/>
  <c r="L94" i="134"/>
  <c r="O94" i="134" s="1"/>
  <c r="L95" i="134"/>
  <c r="O95" i="134" s="1"/>
  <c r="L96" i="134"/>
  <c r="O96" i="134"/>
  <c r="L97" i="134"/>
  <c r="O97" i="134" s="1"/>
  <c r="L98" i="134"/>
  <c r="O98" i="134" s="1"/>
  <c r="L99" i="134"/>
  <c r="O99" i="134" s="1"/>
  <c r="L100" i="134"/>
  <c r="O100" i="134"/>
  <c r="L101" i="134"/>
  <c r="O101" i="134" s="1"/>
  <c r="L102" i="134"/>
  <c r="O102" i="134" s="1"/>
  <c r="L103" i="134"/>
  <c r="O103" i="134" s="1"/>
  <c r="L104" i="134"/>
  <c r="O104" i="134"/>
  <c r="L105" i="134"/>
  <c r="O105" i="134" s="1"/>
  <c r="L106" i="134"/>
  <c r="O106" i="134" s="1"/>
  <c r="L107" i="134"/>
  <c r="O107" i="134" s="1"/>
  <c r="L108" i="134"/>
  <c r="O108" i="134"/>
  <c r="L109" i="134"/>
  <c r="O109" i="134" s="1"/>
  <c r="L110" i="134"/>
  <c r="O110" i="134" s="1"/>
  <c r="L111" i="134"/>
  <c r="O111" i="134" s="1"/>
  <c r="L112" i="134"/>
  <c r="O112" i="134"/>
  <c r="L113" i="134"/>
  <c r="O113" i="134" s="1"/>
  <c r="L114" i="134"/>
  <c r="O114" i="134" s="1"/>
  <c r="L115" i="134"/>
  <c r="O115" i="134" s="1"/>
  <c r="L116" i="134"/>
  <c r="O116" i="134"/>
  <c r="L117" i="134"/>
  <c r="O117" i="134" s="1"/>
  <c r="L118" i="134"/>
  <c r="O118" i="134" s="1"/>
  <c r="L119" i="134"/>
  <c r="O119" i="134" s="1"/>
  <c r="L120" i="134"/>
  <c r="O120" i="134"/>
  <c r="L121" i="134"/>
  <c r="O121" i="134" s="1"/>
  <c r="L122" i="134"/>
  <c r="O122" i="134" s="1"/>
  <c r="L123" i="134"/>
  <c r="O123" i="134" s="1"/>
  <c r="L124" i="134"/>
  <c r="O124" i="134"/>
  <c r="L125" i="134"/>
  <c r="O125" i="134" s="1"/>
  <c r="L126" i="134"/>
  <c r="O126" i="134" s="1"/>
  <c r="L127" i="134"/>
  <c r="O127" i="134" s="1"/>
  <c r="L128" i="134"/>
  <c r="O128" i="134"/>
  <c r="L129" i="134"/>
  <c r="O129" i="134" s="1"/>
  <c r="L130" i="134"/>
  <c r="O130" i="134" s="1"/>
  <c r="L131" i="134"/>
  <c r="O131" i="134" s="1"/>
  <c r="L132" i="134"/>
  <c r="O132" i="134"/>
  <c r="L133" i="134"/>
  <c r="O133" i="134" s="1"/>
  <c r="L134" i="134"/>
  <c r="O134" i="134" s="1"/>
  <c r="L135" i="134"/>
  <c r="O135" i="134" s="1"/>
  <c r="L136" i="134"/>
  <c r="O136" i="134"/>
  <c r="L137" i="134"/>
  <c r="O137" i="134" s="1"/>
  <c r="L138" i="134"/>
  <c r="O138" i="134" s="1"/>
  <c r="L139" i="134"/>
  <c r="O139" i="134" s="1"/>
  <c r="L140" i="134"/>
  <c r="O140" i="134"/>
  <c r="L141" i="134"/>
  <c r="O141" i="134" s="1"/>
  <c r="L142" i="134"/>
  <c r="O142" i="134" s="1"/>
  <c r="L143" i="134"/>
  <c r="O143" i="134" s="1"/>
  <c r="L144" i="134"/>
  <c r="O144" i="134"/>
  <c r="L145" i="134"/>
  <c r="O145" i="134" s="1"/>
  <c r="L146" i="134"/>
  <c r="O146" i="134" s="1"/>
  <c r="L147" i="134"/>
  <c r="O147" i="134" s="1"/>
  <c r="L148" i="134"/>
  <c r="O148" i="134"/>
  <c r="L149" i="134"/>
  <c r="O149" i="134" s="1"/>
  <c r="L150" i="134"/>
  <c r="O150" i="134" s="1"/>
  <c r="L151" i="134"/>
  <c r="O151" i="134" s="1"/>
  <c r="L152" i="134"/>
  <c r="O152" i="134"/>
  <c r="L153" i="134"/>
  <c r="O153" i="134" s="1"/>
  <c r="L154" i="134"/>
  <c r="O154" i="134" s="1"/>
  <c r="L155" i="134"/>
  <c r="O155" i="134" s="1"/>
  <c r="L156" i="134"/>
  <c r="O156" i="134"/>
  <c r="L157" i="134"/>
  <c r="O157" i="134" s="1"/>
  <c r="L158" i="134"/>
  <c r="O158" i="134" s="1"/>
  <c r="L159" i="134"/>
  <c r="O159" i="134" s="1"/>
  <c r="L160" i="134"/>
  <c r="O160" i="134"/>
  <c r="L161" i="134"/>
  <c r="O161" i="134" s="1"/>
  <c r="L162" i="134"/>
  <c r="O162" i="134" s="1"/>
  <c r="L163" i="134"/>
  <c r="O163" i="134" s="1"/>
  <c r="L164" i="134"/>
  <c r="O164" i="134"/>
  <c r="L165" i="134"/>
  <c r="O165" i="134" s="1"/>
  <c r="L166" i="134"/>
  <c r="O166" i="134" s="1"/>
  <c r="L167" i="134"/>
  <c r="O167" i="134" s="1"/>
  <c r="L168" i="134"/>
  <c r="O168" i="134"/>
  <c r="L169" i="134"/>
  <c r="O169" i="134" s="1"/>
  <c r="L170" i="134"/>
  <c r="O170" i="134" s="1"/>
  <c r="L171" i="134"/>
  <c r="O171" i="134" s="1"/>
  <c r="L172" i="134"/>
  <c r="O172" i="134"/>
  <c r="L173" i="134"/>
  <c r="O173" i="134" s="1"/>
  <c r="L174" i="134"/>
  <c r="O174" i="134" s="1"/>
  <c r="L175" i="134"/>
  <c r="O175" i="134" s="1"/>
  <c r="L176" i="134"/>
  <c r="O176" i="134"/>
  <c r="L177" i="134"/>
  <c r="O177" i="134" s="1"/>
  <c r="L178" i="134"/>
  <c r="O178" i="134" s="1"/>
  <c r="L179" i="134"/>
  <c r="O179" i="134" s="1"/>
  <c r="L180" i="134"/>
  <c r="O180" i="134"/>
  <c r="L181" i="134"/>
  <c r="O181" i="134" s="1"/>
  <c r="L182" i="134"/>
  <c r="O182" i="134" s="1"/>
  <c r="L183" i="134"/>
  <c r="O183" i="134" s="1"/>
  <c r="L184" i="134"/>
  <c r="O184" i="134"/>
  <c r="L185" i="134"/>
  <c r="O185" i="134" s="1"/>
  <c r="L186" i="134"/>
  <c r="O186" i="134" s="1"/>
  <c r="L187" i="134"/>
  <c r="O187" i="134" s="1"/>
  <c r="L188" i="134"/>
  <c r="O188" i="134"/>
  <c r="L189" i="134"/>
  <c r="O189" i="134" s="1"/>
  <c r="L190" i="134"/>
  <c r="O190" i="134" s="1"/>
  <c r="L191" i="134"/>
  <c r="O191" i="134" s="1"/>
  <c r="L192" i="134"/>
  <c r="O192" i="134"/>
  <c r="L193" i="134"/>
  <c r="O193" i="134" s="1"/>
  <c r="L194" i="134"/>
  <c r="O194" i="134" s="1"/>
  <c r="L195" i="134"/>
  <c r="O195" i="134" s="1"/>
  <c r="L196" i="134"/>
  <c r="O196" i="134"/>
  <c r="L197" i="134"/>
  <c r="O197" i="134" s="1"/>
  <c r="L198" i="134"/>
  <c r="O198" i="134" s="1"/>
  <c r="L199" i="134"/>
  <c r="O199" i="134" s="1"/>
  <c r="L200" i="134"/>
  <c r="O200" i="134"/>
  <c r="L201" i="134"/>
  <c r="O201" i="134" s="1"/>
  <c r="L202" i="134"/>
  <c r="O202" i="134" s="1"/>
  <c r="L203" i="134"/>
  <c r="O203" i="134" s="1"/>
  <c r="L204" i="134"/>
  <c r="O204" i="134"/>
  <c r="L205" i="134"/>
  <c r="O205" i="134" s="1"/>
  <c r="L206" i="134"/>
  <c r="O206" i="134" s="1"/>
  <c r="L207" i="134"/>
  <c r="O207" i="134" s="1"/>
  <c r="L208" i="134"/>
  <c r="O208" i="134"/>
  <c r="L209" i="134"/>
  <c r="O209" i="134" s="1"/>
  <c r="L210" i="134"/>
  <c r="O210" i="134" s="1"/>
  <c r="L211" i="134"/>
  <c r="O211" i="134" s="1"/>
  <c r="L212" i="134"/>
  <c r="O212" i="134"/>
  <c r="L213" i="134"/>
  <c r="O213" i="134" s="1"/>
  <c r="L214" i="134"/>
  <c r="O214" i="134" s="1"/>
  <c r="L215" i="134"/>
  <c r="O215" i="134" s="1"/>
  <c r="L216" i="134"/>
  <c r="O216" i="134"/>
  <c r="L217" i="134"/>
  <c r="O217" i="134" s="1"/>
  <c r="L218" i="134"/>
  <c r="O218" i="134" s="1"/>
  <c r="L219" i="134"/>
  <c r="O219" i="134" s="1"/>
  <c r="L220" i="134"/>
  <c r="O220" i="134"/>
  <c r="L221" i="134"/>
  <c r="O221" i="134" s="1"/>
  <c r="L222" i="134"/>
  <c r="O222" i="134" s="1"/>
  <c r="L223" i="134"/>
  <c r="O223" i="134" s="1"/>
  <c r="L224" i="134"/>
  <c r="O224" i="134"/>
  <c r="L225" i="134"/>
  <c r="O225" i="134" s="1"/>
  <c r="L226" i="134"/>
  <c r="O226" i="134" s="1"/>
  <c r="L227" i="134"/>
  <c r="O227" i="134" s="1"/>
  <c r="L228" i="134"/>
  <c r="O228" i="134"/>
  <c r="L229" i="134"/>
  <c r="O229" i="134" s="1"/>
  <c r="L230" i="134"/>
  <c r="O230" i="134" s="1"/>
  <c r="L231" i="134"/>
  <c r="O231" i="134" s="1"/>
  <c r="L232" i="134"/>
  <c r="O232" i="134"/>
  <c r="L233" i="134"/>
  <c r="O233" i="134" s="1"/>
  <c r="L234" i="134"/>
  <c r="O234" i="134" s="1"/>
  <c r="O235" i="134"/>
  <c r="L9" i="134"/>
  <c r="L7" i="134"/>
  <c r="O9" i="134"/>
  <c r="O7" i="134" s="1"/>
  <c r="W233" i="134"/>
  <c r="V233" i="134"/>
  <c r="T233" i="134"/>
  <c r="S233" i="134"/>
  <c r="R233" i="134"/>
  <c r="Q233" i="134"/>
  <c r="P233" i="134"/>
  <c r="W232" i="134"/>
  <c r="V232" i="134"/>
  <c r="T232" i="134"/>
  <c r="S232" i="134"/>
  <c r="R232" i="134"/>
  <c r="Q232" i="134"/>
  <c r="P232" i="134"/>
  <c r="W231" i="134"/>
  <c r="V231" i="134"/>
  <c r="T231" i="134"/>
  <c r="S231" i="134"/>
  <c r="R231" i="134"/>
  <c r="Q231" i="134"/>
  <c r="P231" i="134"/>
  <c r="W230" i="134"/>
  <c r="V230" i="134"/>
  <c r="T230" i="134"/>
  <c r="S230" i="134"/>
  <c r="R230" i="134"/>
  <c r="Q230" i="134"/>
  <c r="P230" i="134"/>
  <c r="W229" i="134"/>
  <c r="V229" i="134"/>
  <c r="T229" i="134"/>
  <c r="S229" i="134"/>
  <c r="R229" i="134"/>
  <c r="Q229" i="134"/>
  <c r="P229" i="134"/>
  <c r="W228" i="134"/>
  <c r="V228" i="134"/>
  <c r="T228" i="134"/>
  <c r="S228" i="134"/>
  <c r="R228" i="134"/>
  <c r="Q228" i="134"/>
  <c r="P228" i="134"/>
  <c r="W227" i="134"/>
  <c r="V227" i="134"/>
  <c r="T227" i="134"/>
  <c r="S227" i="134"/>
  <c r="R227" i="134"/>
  <c r="Q227" i="134"/>
  <c r="P227" i="134"/>
  <c r="W226" i="134"/>
  <c r="V226" i="134"/>
  <c r="T226" i="134"/>
  <c r="S226" i="134"/>
  <c r="R226" i="134"/>
  <c r="Q226" i="134"/>
  <c r="P226" i="134"/>
  <c r="W225" i="134"/>
  <c r="V225" i="134"/>
  <c r="T225" i="134"/>
  <c r="S225" i="134"/>
  <c r="R225" i="134"/>
  <c r="Q225" i="134"/>
  <c r="P225" i="134"/>
  <c r="W224" i="134"/>
  <c r="V224" i="134"/>
  <c r="T224" i="134"/>
  <c r="S224" i="134"/>
  <c r="R224" i="134"/>
  <c r="Q224" i="134"/>
  <c r="P224" i="134"/>
  <c r="W223" i="134"/>
  <c r="V223" i="134"/>
  <c r="T223" i="134"/>
  <c r="S223" i="134"/>
  <c r="R223" i="134"/>
  <c r="Q223" i="134"/>
  <c r="P223" i="134"/>
  <c r="W222" i="134"/>
  <c r="V222" i="134"/>
  <c r="T222" i="134"/>
  <c r="S222" i="134"/>
  <c r="R222" i="134"/>
  <c r="Q222" i="134"/>
  <c r="P222" i="134"/>
  <c r="W221" i="134"/>
  <c r="V221" i="134"/>
  <c r="T221" i="134"/>
  <c r="S221" i="134"/>
  <c r="R221" i="134"/>
  <c r="Q221" i="134"/>
  <c r="P221" i="134"/>
  <c r="W220" i="134"/>
  <c r="V220" i="134"/>
  <c r="T220" i="134"/>
  <c r="S220" i="134"/>
  <c r="R220" i="134"/>
  <c r="Q220" i="134"/>
  <c r="P220" i="134"/>
  <c r="W219" i="134"/>
  <c r="V219" i="134"/>
  <c r="T219" i="134"/>
  <c r="S219" i="134"/>
  <c r="R219" i="134"/>
  <c r="Q219" i="134"/>
  <c r="P219" i="134"/>
  <c r="W218" i="134"/>
  <c r="V218" i="134"/>
  <c r="T218" i="134"/>
  <c r="S218" i="134"/>
  <c r="R218" i="134"/>
  <c r="Q218" i="134"/>
  <c r="P218" i="134"/>
  <c r="W217" i="134"/>
  <c r="V217" i="134"/>
  <c r="T217" i="134"/>
  <c r="S217" i="134"/>
  <c r="R217" i="134"/>
  <c r="Q217" i="134"/>
  <c r="P217" i="134"/>
  <c r="W216" i="134"/>
  <c r="V216" i="134"/>
  <c r="T216" i="134"/>
  <c r="S216" i="134"/>
  <c r="R216" i="134"/>
  <c r="Q216" i="134"/>
  <c r="P216" i="134"/>
  <c r="W215" i="134"/>
  <c r="V215" i="134"/>
  <c r="T215" i="134"/>
  <c r="S215" i="134"/>
  <c r="R215" i="134"/>
  <c r="Q215" i="134"/>
  <c r="P215" i="134"/>
  <c r="W214" i="134"/>
  <c r="V214" i="134"/>
  <c r="T214" i="134"/>
  <c r="S214" i="134"/>
  <c r="R214" i="134"/>
  <c r="Q214" i="134"/>
  <c r="P214" i="134"/>
  <c r="W213" i="134"/>
  <c r="V213" i="134"/>
  <c r="T213" i="134"/>
  <c r="S213" i="134"/>
  <c r="R213" i="134"/>
  <c r="Q213" i="134"/>
  <c r="P213" i="134"/>
  <c r="W212" i="134"/>
  <c r="V212" i="134"/>
  <c r="T212" i="134"/>
  <c r="S212" i="134"/>
  <c r="R212" i="134"/>
  <c r="Q212" i="134"/>
  <c r="P212" i="134"/>
  <c r="W211" i="134"/>
  <c r="V211" i="134"/>
  <c r="T211" i="134"/>
  <c r="S211" i="134"/>
  <c r="R211" i="134"/>
  <c r="Q211" i="134"/>
  <c r="P211" i="134"/>
  <c r="W210" i="134"/>
  <c r="V210" i="134"/>
  <c r="T210" i="134"/>
  <c r="S210" i="134"/>
  <c r="R210" i="134"/>
  <c r="Q210" i="134"/>
  <c r="P210" i="134"/>
  <c r="W209" i="134"/>
  <c r="V209" i="134"/>
  <c r="T209" i="134"/>
  <c r="S209" i="134"/>
  <c r="R209" i="134"/>
  <c r="Q209" i="134"/>
  <c r="P209" i="134"/>
  <c r="W208" i="134"/>
  <c r="V208" i="134"/>
  <c r="T208" i="134"/>
  <c r="S208" i="134"/>
  <c r="R208" i="134"/>
  <c r="Q208" i="134"/>
  <c r="P208" i="134"/>
  <c r="W207" i="134"/>
  <c r="V207" i="134"/>
  <c r="T207" i="134"/>
  <c r="S207" i="134"/>
  <c r="R207" i="134"/>
  <c r="Q207" i="134"/>
  <c r="P207" i="134"/>
  <c r="W206" i="134"/>
  <c r="V206" i="134"/>
  <c r="T206" i="134"/>
  <c r="S206" i="134"/>
  <c r="R206" i="134"/>
  <c r="Q206" i="134"/>
  <c r="P206" i="134"/>
  <c r="W205" i="134"/>
  <c r="V205" i="134"/>
  <c r="T205" i="134"/>
  <c r="S205" i="134"/>
  <c r="R205" i="134"/>
  <c r="Q205" i="134"/>
  <c r="P205" i="134"/>
  <c r="W204" i="134"/>
  <c r="V204" i="134"/>
  <c r="T204" i="134"/>
  <c r="S204" i="134"/>
  <c r="R204" i="134"/>
  <c r="Q204" i="134"/>
  <c r="P204" i="134"/>
  <c r="W203" i="134"/>
  <c r="V203" i="134"/>
  <c r="T203" i="134"/>
  <c r="S203" i="134"/>
  <c r="R203" i="134"/>
  <c r="Q203" i="134"/>
  <c r="P203" i="134"/>
  <c r="W202" i="134"/>
  <c r="V202" i="134"/>
  <c r="T202" i="134"/>
  <c r="S202" i="134"/>
  <c r="R202" i="134"/>
  <c r="Q202" i="134"/>
  <c r="P202" i="134"/>
  <c r="W201" i="134"/>
  <c r="V201" i="134"/>
  <c r="T201" i="134"/>
  <c r="S201" i="134"/>
  <c r="R201" i="134"/>
  <c r="Q201" i="134"/>
  <c r="P201" i="134"/>
  <c r="W200" i="134"/>
  <c r="V200" i="134"/>
  <c r="T200" i="134"/>
  <c r="S200" i="134"/>
  <c r="R200" i="134"/>
  <c r="Q200" i="134"/>
  <c r="P200" i="134"/>
  <c r="W199" i="134"/>
  <c r="V199" i="134"/>
  <c r="T199" i="134"/>
  <c r="S199" i="134"/>
  <c r="R199" i="134"/>
  <c r="Q199" i="134"/>
  <c r="P199" i="134"/>
  <c r="W198" i="134"/>
  <c r="V198" i="134"/>
  <c r="T198" i="134"/>
  <c r="S198" i="134"/>
  <c r="R198" i="134"/>
  <c r="Q198" i="134"/>
  <c r="P198" i="134"/>
  <c r="W197" i="134"/>
  <c r="V197" i="134"/>
  <c r="T197" i="134"/>
  <c r="S197" i="134"/>
  <c r="R197" i="134"/>
  <c r="Q197" i="134"/>
  <c r="P197" i="134"/>
  <c r="W196" i="134"/>
  <c r="V196" i="134"/>
  <c r="T196" i="134"/>
  <c r="S196" i="134"/>
  <c r="R196" i="134"/>
  <c r="Q196" i="134"/>
  <c r="P196" i="134"/>
  <c r="W195" i="134"/>
  <c r="V195" i="134"/>
  <c r="T195" i="134"/>
  <c r="S195" i="134"/>
  <c r="R195" i="134"/>
  <c r="Q195" i="134"/>
  <c r="P195" i="134"/>
  <c r="W194" i="134"/>
  <c r="V194" i="134"/>
  <c r="T194" i="134"/>
  <c r="S194" i="134"/>
  <c r="R194" i="134"/>
  <c r="Q194" i="134"/>
  <c r="P194" i="134"/>
  <c r="W193" i="134"/>
  <c r="V193" i="134"/>
  <c r="T193" i="134"/>
  <c r="S193" i="134"/>
  <c r="R193" i="134"/>
  <c r="Q193" i="134"/>
  <c r="P193" i="134"/>
  <c r="W192" i="134"/>
  <c r="V192" i="134"/>
  <c r="T192" i="134"/>
  <c r="S192" i="134"/>
  <c r="R192" i="134"/>
  <c r="Q192" i="134"/>
  <c r="P192" i="134"/>
  <c r="W191" i="134"/>
  <c r="V191" i="134"/>
  <c r="T191" i="134"/>
  <c r="S191" i="134"/>
  <c r="R191" i="134"/>
  <c r="Q191" i="134"/>
  <c r="P191" i="134"/>
  <c r="W190" i="134"/>
  <c r="V190" i="134"/>
  <c r="T190" i="134"/>
  <c r="S190" i="134"/>
  <c r="R190" i="134"/>
  <c r="Q190" i="134"/>
  <c r="P190" i="134"/>
  <c r="W189" i="134"/>
  <c r="V189" i="134"/>
  <c r="T189" i="134"/>
  <c r="S189" i="134"/>
  <c r="R189" i="134"/>
  <c r="Q189" i="134"/>
  <c r="P189" i="134"/>
  <c r="W188" i="134"/>
  <c r="V188" i="134"/>
  <c r="T188" i="134"/>
  <c r="S188" i="134"/>
  <c r="R188" i="134"/>
  <c r="Q188" i="134"/>
  <c r="P188" i="134"/>
  <c r="W187" i="134"/>
  <c r="V187" i="134"/>
  <c r="T187" i="134"/>
  <c r="S187" i="134"/>
  <c r="R187" i="134"/>
  <c r="Q187" i="134"/>
  <c r="P187" i="134"/>
  <c r="W186" i="134"/>
  <c r="V186" i="134"/>
  <c r="T186" i="134"/>
  <c r="S186" i="134"/>
  <c r="R186" i="134"/>
  <c r="Q186" i="134"/>
  <c r="P186" i="134"/>
  <c r="W185" i="134"/>
  <c r="V185" i="134"/>
  <c r="T185" i="134"/>
  <c r="S185" i="134"/>
  <c r="R185" i="134"/>
  <c r="Q185" i="134"/>
  <c r="P185" i="134"/>
  <c r="W184" i="134"/>
  <c r="V184" i="134"/>
  <c r="T184" i="134"/>
  <c r="S184" i="134"/>
  <c r="R184" i="134"/>
  <c r="Q184" i="134"/>
  <c r="P184" i="134"/>
  <c r="W183" i="134"/>
  <c r="V183" i="134"/>
  <c r="T183" i="134"/>
  <c r="S183" i="134"/>
  <c r="R183" i="134"/>
  <c r="Q183" i="134"/>
  <c r="P183" i="134"/>
  <c r="W182" i="134"/>
  <c r="V182" i="134"/>
  <c r="T182" i="134"/>
  <c r="S182" i="134"/>
  <c r="R182" i="134"/>
  <c r="Q182" i="134"/>
  <c r="P182" i="134"/>
  <c r="W181" i="134"/>
  <c r="V181" i="134"/>
  <c r="T181" i="134"/>
  <c r="S181" i="134"/>
  <c r="R181" i="134"/>
  <c r="Q181" i="134"/>
  <c r="P181" i="134"/>
  <c r="W180" i="134"/>
  <c r="V180" i="134"/>
  <c r="T180" i="134"/>
  <c r="S180" i="134"/>
  <c r="R180" i="134"/>
  <c r="Q180" i="134"/>
  <c r="P180" i="134"/>
  <c r="W179" i="134"/>
  <c r="V179" i="134"/>
  <c r="T179" i="134"/>
  <c r="S179" i="134"/>
  <c r="R179" i="134"/>
  <c r="Q179" i="134"/>
  <c r="P179" i="134"/>
  <c r="W178" i="134"/>
  <c r="V178" i="134"/>
  <c r="T178" i="134"/>
  <c r="S178" i="134"/>
  <c r="R178" i="134"/>
  <c r="Q178" i="134"/>
  <c r="P178" i="134"/>
  <c r="W177" i="134"/>
  <c r="V177" i="134"/>
  <c r="T177" i="134"/>
  <c r="S177" i="134"/>
  <c r="R177" i="134"/>
  <c r="Q177" i="134"/>
  <c r="P177" i="134"/>
  <c r="W176" i="134"/>
  <c r="V176" i="134"/>
  <c r="T176" i="134"/>
  <c r="S176" i="134"/>
  <c r="R176" i="134"/>
  <c r="Q176" i="134"/>
  <c r="P176" i="134"/>
  <c r="W175" i="134"/>
  <c r="V175" i="134"/>
  <c r="T175" i="134"/>
  <c r="S175" i="134"/>
  <c r="R175" i="134"/>
  <c r="Q175" i="134"/>
  <c r="P175" i="134"/>
  <c r="W174" i="134"/>
  <c r="V174" i="134"/>
  <c r="T174" i="134"/>
  <c r="S174" i="134"/>
  <c r="R174" i="134"/>
  <c r="Q174" i="134"/>
  <c r="P174" i="134"/>
  <c r="W173" i="134"/>
  <c r="V173" i="134"/>
  <c r="T173" i="134"/>
  <c r="S173" i="134"/>
  <c r="R173" i="134"/>
  <c r="Q173" i="134"/>
  <c r="P173" i="134"/>
  <c r="W172" i="134"/>
  <c r="V172" i="134"/>
  <c r="T172" i="134"/>
  <c r="S172" i="134"/>
  <c r="R172" i="134"/>
  <c r="Q172" i="134"/>
  <c r="P172" i="134"/>
  <c r="W171" i="134"/>
  <c r="V171" i="134"/>
  <c r="T171" i="134"/>
  <c r="S171" i="134"/>
  <c r="R171" i="134"/>
  <c r="Q171" i="134"/>
  <c r="P171" i="134"/>
  <c r="W170" i="134"/>
  <c r="V170" i="134"/>
  <c r="T170" i="134"/>
  <c r="S170" i="134"/>
  <c r="R170" i="134"/>
  <c r="Q170" i="134"/>
  <c r="P170" i="134"/>
  <c r="W169" i="134"/>
  <c r="V169" i="134"/>
  <c r="T169" i="134"/>
  <c r="S169" i="134"/>
  <c r="R169" i="134"/>
  <c r="Q169" i="134"/>
  <c r="P169" i="134"/>
  <c r="W168" i="134"/>
  <c r="V168" i="134"/>
  <c r="T168" i="134"/>
  <c r="S168" i="134"/>
  <c r="R168" i="134"/>
  <c r="Q168" i="134"/>
  <c r="P168" i="134"/>
  <c r="W167" i="134"/>
  <c r="V167" i="134"/>
  <c r="T167" i="134"/>
  <c r="S167" i="134"/>
  <c r="R167" i="134"/>
  <c r="Q167" i="134"/>
  <c r="P167" i="134"/>
  <c r="W166" i="134"/>
  <c r="V166" i="134"/>
  <c r="T166" i="134"/>
  <c r="S166" i="134"/>
  <c r="R166" i="134"/>
  <c r="Q166" i="134"/>
  <c r="P166" i="134"/>
  <c r="W165" i="134"/>
  <c r="V165" i="134"/>
  <c r="T165" i="134"/>
  <c r="S165" i="134"/>
  <c r="R165" i="134"/>
  <c r="Q165" i="134"/>
  <c r="P165" i="134"/>
  <c r="W164" i="134"/>
  <c r="V164" i="134"/>
  <c r="T164" i="134"/>
  <c r="S164" i="134"/>
  <c r="R164" i="134"/>
  <c r="Q164" i="134"/>
  <c r="P164" i="134"/>
  <c r="W163" i="134"/>
  <c r="V163" i="134"/>
  <c r="T163" i="134"/>
  <c r="S163" i="134"/>
  <c r="R163" i="134"/>
  <c r="Q163" i="134"/>
  <c r="P163" i="134"/>
  <c r="W162" i="134"/>
  <c r="V162" i="134"/>
  <c r="T162" i="134"/>
  <c r="S162" i="134"/>
  <c r="R162" i="134"/>
  <c r="Q162" i="134"/>
  <c r="P162" i="134"/>
  <c r="W161" i="134"/>
  <c r="V161" i="134"/>
  <c r="T161" i="134"/>
  <c r="S161" i="134"/>
  <c r="R161" i="134"/>
  <c r="Q161" i="134"/>
  <c r="P161" i="134"/>
  <c r="W160" i="134"/>
  <c r="V160" i="134"/>
  <c r="T160" i="134"/>
  <c r="S160" i="134"/>
  <c r="R160" i="134"/>
  <c r="Q160" i="134"/>
  <c r="P160" i="134"/>
  <c r="W159" i="134"/>
  <c r="V159" i="134"/>
  <c r="T159" i="134"/>
  <c r="S159" i="134"/>
  <c r="R159" i="134"/>
  <c r="Q159" i="134"/>
  <c r="P159" i="134"/>
  <c r="W158" i="134"/>
  <c r="V158" i="134"/>
  <c r="T158" i="134"/>
  <c r="S158" i="134"/>
  <c r="R158" i="134"/>
  <c r="Q158" i="134"/>
  <c r="P158" i="134"/>
  <c r="W157" i="134"/>
  <c r="V157" i="134"/>
  <c r="T157" i="134"/>
  <c r="S157" i="134"/>
  <c r="R157" i="134"/>
  <c r="Q157" i="134"/>
  <c r="P157" i="134"/>
  <c r="W156" i="134"/>
  <c r="V156" i="134"/>
  <c r="T156" i="134"/>
  <c r="S156" i="134"/>
  <c r="R156" i="134"/>
  <c r="Q156" i="134"/>
  <c r="P156" i="134"/>
  <c r="W155" i="134"/>
  <c r="V155" i="134"/>
  <c r="T155" i="134"/>
  <c r="S155" i="134"/>
  <c r="R155" i="134"/>
  <c r="Q155" i="134"/>
  <c r="P155" i="134"/>
  <c r="W154" i="134"/>
  <c r="V154" i="134"/>
  <c r="T154" i="134"/>
  <c r="S154" i="134"/>
  <c r="R154" i="134"/>
  <c r="Q154" i="134"/>
  <c r="P154" i="134"/>
  <c r="W153" i="134"/>
  <c r="V153" i="134"/>
  <c r="T153" i="134"/>
  <c r="S153" i="134"/>
  <c r="R153" i="134"/>
  <c r="Q153" i="134"/>
  <c r="P153" i="134"/>
  <c r="W152" i="134"/>
  <c r="V152" i="134"/>
  <c r="T152" i="134"/>
  <c r="S152" i="134"/>
  <c r="R152" i="134"/>
  <c r="Q152" i="134"/>
  <c r="P152" i="134"/>
  <c r="W151" i="134"/>
  <c r="V151" i="134"/>
  <c r="T151" i="134"/>
  <c r="S151" i="134"/>
  <c r="R151" i="134"/>
  <c r="Q151" i="134"/>
  <c r="P151" i="134"/>
  <c r="W150" i="134"/>
  <c r="V150" i="134"/>
  <c r="T150" i="134"/>
  <c r="S150" i="134"/>
  <c r="R150" i="134"/>
  <c r="X150" i="134" s="1"/>
  <c r="AA150" i="134" s="1"/>
  <c r="Q150" i="134"/>
  <c r="P150" i="134"/>
  <c r="W149" i="134"/>
  <c r="V149" i="134"/>
  <c r="T149" i="134"/>
  <c r="S149" i="134"/>
  <c r="R149" i="134"/>
  <c r="Q149" i="134"/>
  <c r="X149" i="134" s="1"/>
  <c r="AA149" i="134" s="1"/>
  <c r="P149" i="134"/>
  <c r="W148" i="134"/>
  <c r="V148" i="134"/>
  <c r="T148" i="134"/>
  <c r="S148" i="134"/>
  <c r="R148" i="134"/>
  <c r="Q148" i="134"/>
  <c r="P148" i="134"/>
  <c r="X148" i="134" s="1"/>
  <c r="AA148" i="134" s="1"/>
  <c r="W147" i="134"/>
  <c r="V147" i="134"/>
  <c r="T147" i="134"/>
  <c r="S147" i="134"/>
  <c r="R147" i="134"/>
  <c r="Q147" i="134"/>
  <c r="P147" i="134"/>
  <c r="W146" i="134"/>
  <c r="V146" i="134"/>
  <c r="T146" i="134"/>
  <c r="S146" i="134"/>
  <c r="R146" i="134"/>
  <c r="Q146" i="134"/>
  <c r="P146" i="134"/>
  <c r="W145" i="134"/>
  <c r="V145" i="134"/>
  <c r="X145" i="134" s="1"/>
  <c r="AA145" i="134" s="1"/>
  <c r="T145" i="134"/>
  <c r="S145" i="134"/>
  <c r="R145" i="134"/>
  <c r="Q145" i="134"/>
  <c r="P145" i="134"/>
  <c r="W144" i="134"/>
  <c r="V144" i="134"/>
  <c r="T144" i="134"/>
  <c r="X144" i="134" s="1"/>
  <c r="AA144" i="134" s="1"/>
  <c r="S144" i="134"/>
  <c r="R144" i="134"/>
  <c r="Q144" i="134"/>
  <c r="P144" i="134"/>
  <c r="W143" i="134"/>
  <c r="V143" i="134"/>
  <c r="T143" i="134"/>
  <c r="S143" i="134"/>
  <c r="X143" i="134" s="1"/>
  <c r="AA143" i="134" s="1"/>
  <c r="R143" i="134"/>
  <c r="Q143" i="134"/>
  <c r="P143" i="134"/>
  <c r="W142" i="134"/>
  <c r="V142" i="134"/>
  <c r="T142" i="134"/>
  <c r="S142" i="134"/>
  <c r="R142" i="134"/>
  <c r="Q142" i="134"/>
  <c r="P142" i="134"/>
  <c r="W141" i="134"/>
  <c r="V141" i="134"/>
  <c r="T141" i="134"/>
  <c r="S141" i="134"/>
  <c r="R141" i="134"/>
  <c r="Q141" i="134"/>
  <c r="P141" i="134"/>
  <c r="W140" i="134"/>
  <c r="V140" i="134"/>
  <c r="T140" i="134"/>
  <c r="S140" i="134"/>
  <c r="R140" i="134"/>
  <c r="Q140" i="134"/>
  <c r="P140" i="134"/>
  <c r="W139" i="134"/>
  <c r="V139" i="134"/>
  <c r="T139" i="134"/>
  <c r="S139" i="134"/>
  <c r="R139" i="134"/>
  <c r="Q139" i="134"/>
  <c r="P139" i="134"/>
  <c r="W138" i="134"/>
  <c r="X138" i="134" s="1"/>
  <c r="AA138" i="134" s="1"/>
  <c r="V138" i="134"/>
  <c r="T138" i="134"/>
  <c r="S138" i="134"/>
  <c r="R138" i="134"/>
  <c r="Q138" i="134"/>
  <c r="P138" i="134"/>
  <c r="W137" i="134"/>
  <c r="V137" i="134"/>
  <c r="X137" i="134" s="1"/>
  <c r="AA137" i="134" s="1"/>
  <c r="T137" i="134"/>
  <c r="S137" i="134"/>
  <c r="R137" i="134"/>
  <c r="Q137" i="134"/>
  <c r="P137" i="134"/>
  <c r="W136" i="134"/>
  <c r="V136" i="134"/>
  <c r="T136" i="134"/>
  <c r="X136" i="134" s="1"/>
  <c r="AA136" i="134" s="1"/>
  <c r="S136" i="134"/>
  <c r="R136" i="134"/>
  <c r="Q136" i="134"/>
  <c r="P136" i="134"/>
  <c r="W135" i="134"/>
  <c r="V135" i="134"/>
  <c r="T135" i="134"/>
  <c r="S135" i="134"/>
  <c r="X135" i="134" s="1"/>
  <c r="R135" i="134"/>
  <c r="Q135" i="134"/>
  <c r="P135" i="134"/>
  <c r="W134" i="134"/>
  <c r="V134" i="134"/>
  <c r="T134" i="134"/>
  <c r="S134" i="134"/>
  <c r="R134" i="134"/>
  <c r="Q134" i="134"/>
  <c r="P134" i="134"/>
  <c r="W133" i="134"/>
  <c r="V133" i="134"/>
  <c r="T133" i="134"/>
  <c r="S133" i="134"/>
  <c r="R133" i="134"/>
  <c r="Q133" i="134"/>
  <c r="X133" i="134" s="1"/>
  <c r="AA133" i="134" s="1"/>
  <c r="P133" i="134"/>
  <c r="W132" i="134"/>
  <c r="V132" i="134"/>
  <c r="T132" i="134"/>
  <c r="S132" i="134"/>
  <c r="R132" i="134"/>
  <c r="Q132" i="134"/>
  <c r="P132" i="134"/>
  <c r="X132" i="134" s="1"/>
  <c r="AA132" i="134" s="1"/>
  <c r="W131" i="134"/>
  <c r="V131" i="134"/>
  <c r="T131" i="134"/>
  <c r="S131" i="134"/>
  <c r="R131" i="134"/>
  <c r="Q131" i="134"/>
  <c r="P131" i="134"/>
  <c r="W130" i="134"/>
  <c r="X130" i="134" s="1"/>
  <c r="AA130" i="134" s="1"/>
  <c r="V130" i="134"/>
  <c r="T130" i="134"/>
  <c r="S130" i="134"/>
  <c r="R130" i="134"/>
  <c r="Q130" i="134"/>
  <c r="P130" i="134"/>
  <c r="W129" i="134"/>
  <c r="V129" i="134"/>
  <c r="X129" i="134" s="1"/>
  <c r="AA129" i="134" s="1"/>
  <c r="T129" i="134"/>
  <c r="S129" i="134"/>
  <c r="R129" i="134"/>
  <c r="Q129" i="134"/>
  <c r="P129" i="134"/>
  <c r="W128" i="134"/>
  <c r="V128" i="134"/>
  <c r="T128" i="134"/>
  <c r="X128" i="134" s="1"/>
  <c r="AA128" i="134" s="1"/>
  <c r="S128" i="134"/>
  <c r="R128" i="134"/>
  <c r="Q128" i="134"/>
  <c r="P128" i="134"/>
  <c r="W127" i="134"/>
  <c r="V127" i="134"/>
  <c r="T127" i="134"/>
  <c r="S127" i="134"/>
  <c r="X127" i="134" s="1"/>
  <c r="AA127" i="134" s="1"/>
  <c r="R127" i="134"/>
  <c r="Q127" i="134"/>
  <c r="P127" i="134"/>
  <c r="W126" i="134"/>
  <c r="V126" i="134"/>
  <c r="T126" i="134"/>
  <c r="S126" i="134"/>
  <c r="R126" i="134"/>
  <c r="X126" i="134" s="1"/>
  <c r="AA126" i="134" s="1"/>
  <c r="Q126" i="134"/>
  <c r="P126" i="134"/>
  <c r="W125" i="134"/>
  <c r="V125" i="134"/>
  <c r="T125" i="134"/>
  <c r="S125" i="134"/>
  <c r="R125" i="134"/>
  <c r="Q125" i="134"/>
  <c r="P125" i="134"/>
  <c r="W124" i="134"/>
  <c r="V124" i="134"/>
  <c r="T124" i="134"/>
  <c r="S124" i="134"/>
  <c r="R124" i="134"/>
  <c r="Q124" i="134"/>
  <c r="P124" i="134"/>
  <c r="X124" i="134" s="1"/>
  <c r="AA124" i="134" s="1"/>
  <c r="W123" i="134"/>
  <c r="V123" i="134"/>
  <c r="T123" i="134"/>
  <c r="S123" i="134"/>
  <c r="R123" i="134"/>
  <c r="Q123" i="134"/>
  <c r="P123" i="134"/>
  <c r="W122" i="134"/>
  <c r="V122" i="134"/>
  <c r="T122" i="134"/>
  <c r="S122" i="134"/>
  <c r="R122" i="134"/>
  <c r="Q122" i="134"/>
  <c r="P122" i="134"/>
  <c r="W121" i="134"/>
  <c r="V121" i="134"/>
  <c r="T121" i="134"/>
  <c r="S121" i="134"/>
  <c r="R121" i="134"/>
  <c r="Q121" i="134"/>
  <c r="P121" i="134"/>
  <c r="W120" i="134"/>
  <c r="V120" i="134"/>
  <c r="T120" i="134"/>
  <c r="X120" i="134" s="1"/>
  <c r="AA120" i="134" s="1"/>
  <c r="S120" i="134"/>
  <c r="R120" i="134"/>
  <c r="Q120" i="134"/>
  <c r="P120" i="134"/>
  <c r="W119" i="134"/>
  <c r="V119" i="134"/>
  <c r="T119" i="134"/>
  <c r="S119" i="134"/>
  <c r="X119" i="134" s="1"/>
  <c r="AA119" i="134" s="1"/>
  <c r="R119" i="134"/>
  <c r="Q119" i="134"/>
  <c r="P119" i="134"/>
  <c r="W118" i="134"/>
  <c r="V118" i="134"/>
  <c r="T118" i="134"/>
  <c r="S118" i="134"/>
  <c r="R118" i="134"/>
  <c r="X118" i="134" s="1"/>
  <c r="AA118" i="134" s="1"/>
  <c r="Q118" i="134"/>
  <c r="P118" i="134"/>
  <c r="W117" i="134"/>
  <c r="V117" i="134"/>
  <c r="T117" i="134"/>
  <c r="S117" i="134"/>
  <c r="R117" i="134"/>
  <c r="Q117" i="134"/>
  <c r="X117" i="134" s="1"/>
  <c r="AA117" i="134" s="1"/>
  <c r="P117" i="134"/>
  <c r="W116" i="134"/>
  <c r="V116" i="134"/>
  <c r="T116" i="134"/>
  <c r="S116" i="134"/>
  <c r="R116" i="134"/>
  <c r="Q116" i="134"/>
  <c r="P116" i="134"/>
  <c r="X116" i="134" s="1"/>
  <c r="AA116" i="134" s="1"/>
  <c r="W115" i="134"/>
  <c r="V115" i="134"/>
  <c r="T115" i="134"/>
  <c r="S115" i="134"/>
  <c r="R115" i="134"/>
  <c r="Q115" i="134"/>
  <c r="P115" i="134"/>
  <c r="W114" i="134"/>
  <c r="X114" i="134" s="1"/>
  <c r="AA114" i="134" s="1"/>
  <c r="V114" i="134"/>
  <c r="T114" i="134"/>
  <c r="S114" i="134"/>
  <c r="R114" i="134"/>
  <c r="Q114" i="134"/>
  <c r="P114" i="134"/>
  <c r="W113" i="134"/>
  <c r="V113" i="134"/>
  <c r="X113" i="134" s="1"/>
  <c r="AA113" i="134" s="1"/>
  <c r="T113" i="134"/>
  <c r="S113" i="134"/>
  <c r="R113" i="134"/>
  <c r="Q113" i="134"/>
  <c r="P113" i="134"/>
  <c r="W112" i="134"/>
  <c r="V112" i="134"/>
  <c r="T112" i="134"/>
  <c r="S112" i="134"/>
  <c r="R112" i="134"/>
  <c r="Q112" i="134"/>
  <c r="P112" i="134"/>
  <c r="W111" i="134"/>
  <c r="V111" i="134"/>
  <c r="T111" i="134"/>
  <c r="S111" i="134"/>
  <c r="R111" i="134"/>
  <c r="Q111" i="134"/>
  <c r="P111" i="134"/>
  <c r="W110" i="134"/>
  <c r="V110" i="134"/>
  <c r="T110" i="134"/>
  <c r="S110" i="134"/>
  <c r="R110" i="134"/>
  <c r="X110" i="134" s="1"/>
  <c r="AA110" i="134" s="1"/>
  <c r="Q110" i="134"/>
  <c r="P110" i="134"/>
  <c r="W109" i="134"/>
  <c r="V109" i="134"/>
  <c r="T109" i="134"/>
  <c r="S109" i="134"/>
  <c r="R109" i="134"/>
  <c r="Q109" i="134"/>
  <c r="P109" i="134"/>
  <c r="W108" i="134"/>
  <c r="V108" i="134"/>
  <c r="T108" i="134"/>
  <c r="S108" i="134"/>
  <c r="R108" i="134"/>
  <c r="Q108" i="134"/>
  <c r="P108" i="134"/>
  <c r="W107" i="134"/>
  <c r="V107" i="134"/>
  <c r="T107" i="134"/>
  <c r="S107" i="134"/>
  <c r="R107" i="134"/>
  <c r="Q107" i="134"/>
  <c r="P107" i="134"/>
  <c r="W106" i="134"/>
  <c r="X106" i="134" s="1"/>
  <c r="AA106" i="134" s="1"/>
  <c r="V106" i="134"/>
  <c r="T106" i="134"/>
  <c r="S106" i="134"/>
  <c r="R106" i="134"/>
  <c r="Q106" i="134"/>
  <c r="P106" i="134"/>
  <c r="W105" i="134"/>
  <c r="V105" i="134"/>
  <c r="X105" i="134" s="1"/>
  <c r="AA105" i="134" s="1"/>
  <c r="T105" i="134"/>
  <c r="S105" i="134"/>
  <c r="R105" i="134"/>
  <c r="Q105" i="134"/>
  <c r="P105" i="134"/>
  <c r="W104" i="134"/>
  <c r="V104" i="134"/>
  <c r="T104" i="134"/>
  <c r="X104" i="134" s="1"/>
  <c r="AA104" i="134" s="1"/>
  <c r="S104" i="134"/>
  <c r="R104" i="134"/>
  <c r="Q104" i="134"/>
  <c r="P104" i="134"/>
  <c r="W103" i="134"/>
  <c r="V103" i="134"/>
  <c r="T103" i="134"/>
  <c r="S103" i="134"/>
  <c r="X103" i="134" s="1"/>
  <c r="AA103" i="134" s="1"/>
  <c r="R103" i="134"/>
  <c r="Q103" i="134"/>
  <c r="P103" i="134"/>
  <c r="W102" i="134"/>
  <c r="V102" i="134"/>
  <c r="T102" i="134"/>
  <c r="S102" i="134"/>
  <c r="R102" i="134"/>
  <c r="X102" i="134" s="1"/>
  <c r="AA102" i="134" s="1"/>
  <c r="Q102" i="134"/>
  <c r="P102" i="134"/>
  <c r="W101" i="134"/>
  <c r="V101" i="134"/>
  <c r="T101" i="134"/>
  <c r="S101" i="134"/>
  <c r="R101" i="134"/>
  <c r="Q101" i="134"/>
  <c r="X101" i="134" s="1"/>
  <c r="AA101" i="134" s="1"/>
  <c r="P101" i="134"/>
  <c r="W100" i="134"/>
  <c r="V100" i="134"/>
  <c r="T100" i="134"/>
  <c r="S100" i="134"/>
  <c r="R100" i="134"/>
  <c r="Q100" i="134"/>
  <c r="P100" i="134"/>
  <c r="W99" i="134"/>
  <c r="V99" i="134"/>
  <c r="T99" i="134"/>
  <c r="S99" i="134"/>
  <c r="R99" i="134"/>
  <c r="Q99" i="134"/>
  <c r="P99" i="134"/>
  <c r="W98" i="134"/>
  <c r="X98" i="134" s="1"/>
  <c r="V98" i="134"/>
  <c r="T98" i="134"/>
  <c r="S98" i="134"/>
  <c r="R98" i="134"/>
  <c r="Q98" i="134"/>
  <c r="P98" i="134"/>
  <c r="W97" i="134"/>
  <c r="V97" i="134"/>
  <c r="T97" i="134"/>
  <c r="S97" i="134"/>
  <c r="R97" i="134"/>
  <c r="Q97" i="134"/>
  <c r="P97" i="134"/>
  <c r="W96" i="134"/>
  <c r="V96" i="134"/>
  <c r="T96" i="134"/>
  <c r="S96" i="134"/>
  <c r="R96" i="134"/>
  <c r="Q96" i="134"/>
  <c r="P96" i="134"/>
  <c r="W95" i="134"/>
  <c r="V95" i="134"/>
  <c r="T95" i="134"/>
  <c r="S95" i="134"/>
  <c r="X95" i="134" s="1"/>
  <c r="AA95" i="134" s="1"/>
  <c r="R95" i="134"/>
  <c r="Q95" i="134"/>
  <c r="P95" i="134"/>
  <c r="W94" i="134"/>
  <c r="V94" i="134"/>
  <c r="T94" i="134"/>
  <c r="S94" i="134"/>
  <c r="R94" i="134"/>
  <c r="X94" i="134" s="1"/>
  <c r="AA94" i="134" s="1"/>
  <c r="Q94" i="134"/>
  <c r="P94" i="134"/>
  <c r="W93" i="134"/>
  <c r="V93" i="134"/>
  <c r="T93" i="134"/>
  <c r="S93" i="134"/>
  <c r="R93" i="134"/>
  <c r="Q93" i="134"/>
  <c r="X93" i="134" s="1"/>
  <c r="AA93" i="134" s="1"/>
  <c r="P93" i="134"/>
  <c r="W92" i="134"/>
  <c r="V92" i="134"/>
  <c r="T92" i="134"/>
  <c r="S92" i="134"/>
  <c r="R92" i="134"/>
  <c r="Q92" i="134"/>
  <c r="P92" i="134"/>
  <c r="X92" i="134" s="1"/>
  <c r="AA92" i="134" s="1"/>
  <c r="W91" i="134"/>
  <c r="V91" i="134"/>
  <c r="T91" i="134"/>
  <c r="S91" i="134"/>
  <c r="R91" i="134"/>
  <c r="Q91" i="134"/>
  <c r="P91" i="134"/>
  <c r="W90" i="134"/>
  <c r="V90" i="134"/>
  <c r="T90" i="134"/>
  <c r="S90" i="134"/>
  <c r="R90" i="134"/>
  <c r="Q90" i="134"/>
  <c r="P90" i="134"/>
  <c r="W89" i="134"/>
  <c r="V89" i="134"/>
  <c r="X89" i="134" s="1"/>
  <c r="AA89" i="134" s="1"/>
  <c r="T89" i="134"/>
  <c r="S89" i="134"/>
  <c r="R89" i="134"/>
  <c r="Q89" i="134"/>
  <c r="P89" i="134"/>
  <c r="W88" i="134"/>
  <c r="V88" i="134"/>
  <c r="T88" i="134"/>
  <c r="X88" i="134" s="1"/>
  <c r="AA88" i="134" s="1"/>
  <c r="S88" i="134"/>
  <c r="R88" i="134"/>
  <c r="Q88" i="134"/>
  <c r="P88" i="134"/>
  <c r="W87" i="134"/>
  <c r="V87" i="134"/>
  <c r="T87" i="134"/>
  <c r="S87" i="134"/>
  <c r="R87" i="134"/>
  <c r="Q87" i="134"/>
  <c r="P87" i="134"/>
  <c r="W86" i="134"/>
  <c r="V86" i="134"/>
  <c r="T86" i="134"/>
  <c r="S86" i="134"/>
  <c r="R86" i="134"/>
  <c r="Q86" i="134"/>
  <c r="P86" i="134"/>
  <c r="W85" i="134"/>
  <c r="V85" i="134"/>
  <c r="T85" i="134"/>
  <c r="S85" i="134"/>
  <c r="R85" i="134"/>
  <c r="Q85" i="134"/>
  <c r="X85" i="134" s="1"/>
  <c r="AA85" i="134" s="1"/>
  <c r="P85" i="134"/>
  <c r="W84" i="134"/>
  <c r="V84" i="134"/>
  <c r="T84" i="134"/>
  <c r="S84" i="134"/>
  <c r="R84" i="134"/>
  <c r="Q84" i="134"/>
  <c r="P84" i="134"/>
  <c r="X84" i="134" s="1"/>
  <c r="AA84" i="134" s="1"/>
  <c r="W83" i="134"/>
  <c r="V83" i="134"/>
  <c r="T83" i="134"/>
  <c r="S83" i="134"/>
  <c r="R83" i="134"/>
  <c r="Q83" i="134"/>
  <c r="P83" i="134"/>
  <c r="W82" i="134"/>
  <c r="X82" i="134" s="1"/>
  <c r="AA82" i="134" s="1"/>
  <c r="V82" i="134"/>
  <c r="T82" i="134"/>
  <c r="S82" i="134"/>
  <c r="R82" i="134"/>
  <c r="Q82" i="134"/>
  <c r="P82" i="134"/>
  <c r="W81" i="134"/>
  <c r="V81" i="134"/>
  <c r="T81" i="134"/>
  <c r="S81" i="134"/>
  <c r="R81" i="134"/>
  <c r="Q81" i="134"/>
  <c r="P81" i="134"/>
  <c r="W80" i="134"/>
  <c r="V80" i="134"/>
  <c r="T80" i="134"/>
  <c r="X80" i="134" s="1"/>
  <c r="AA80" i="134" s="1"/>
  <c r="S80" i="134"/>
  <c r="R80" i="134"/>
  <c r="Q80" i="134"/>
  <c r="P80" i="134"/>
  <c r="W79" i="134"/>
  <c r="V79" i="134"/>
  <c r="T79" i="134"/>
  <c r="S79" i="134"/>
  <c r="R79" i="134"/>
  <c r="Q79" i="134"/>
  <c r="P79" i="134"/>
  <c r="W78" i="134"/>
  <c r="V78" i="134"/>
  <c r="T78" i="134"/>
  <c r="S78" i="134"/>
  <c r="R78" i="134"/>
  <c r="X78" i="134" s="1"/>
  <c r="AA78" i="134" s="1"/>
  <c r="Q78" i="134"/>
  <c r="P78" i="134"/>
  <c r="W77" i="134"/>
  <c r="V77" i="134"/>
  <c r="T77" i="134"/>
  <c r="S77" i="134"/>
  <c r="R77" i="134"/>
  <c r="Q77" i="134"/>
  <c r="X77" i="134" s="1"/>
  <c r="AA77" i="134" s="1"/>
  <c r="P77" i="134"/>
  <c r="W76" i="134"/>
  <c r="V76" i="134"/>
  <c r="T76" i="134"/>
  <c r="S76" i="134"/>
  <c r="R76" i="134"/>
  <c r="Q76" i="134"/>
  <c r="P76" i="134"/>
  <c r="W75" i="134"/>
  <c r="V75" i="134"/>
  <c r="T75" i="134"/>
  <c r="S75" i="134"/>
  <c r="R75" i="134"/>
  <c r="Q75" i="134"/>
  <c r="P75" i="134"/>
  <c r="W74" i="134"/>
  <c r="X74" i="134" s="1"/>
  <c r="AA74" i="134" s="1"/>
  <c r="V74" i="134"/>
  <c r="T74" i="134"/>
  <c r="S74" i="134"/>
  <c r="R74" i="134"/>
  <c r="Q74" i="134"/>
  <c r="P74" i="134"/>
  <c r="W73" i="134"/>
  <c r="V73" i="134"/>
  <c r="T73" i="134"/>
  <c r="S73" i="134"/>
  <c r="R73" i="134"/>
  <c r="Q73" i="134"/>
  <c r="P73" i="134"/>
  <c r="W72" i="134"/>
  <c r="V72" i="134"/>
  <c r="T72" i="134"/>
  <c r="X72" i="134" s="1"/>
  <c r="AA72" i="134" s="1"/>
  <c r="S72" i="134"/>
  <c r="R72" i="134"/>
  <c r="Q72" i="134"/>
  <c r="P72" i="134"/>
  <c r="W71" i="134"/>
  <c r="V71" i="134"/>
  <c r="T71" i="134"/>
  <c r="S71" i="134"/>
  <c r="X71" i="134" s="1"/>
  <c r="AA71" i="134" s="1"/>
  <c r="R71" i="134"/>
  <c r="Q71" i="134"/>
  <c r="P71" i="134"/>
  <c r="W70" i="134"/>
  <c r="V70" i="134"/>
  <c r="T70" i="134"/>
  <c r="S70" i="134"/>
  <c r="R70" i="134"/>
  <c r="Q70" i="134"/>
  <c r="P70" i="134"/>
  <c r="W69" i="134"/>
  <c r="V69" i="134"/>
  <c r="T69" i="134"/>
  <c r="S69" i="134"/>
  <c r="R69" i="134"/>
  <c r="Q69" i="134"/>
  <c r="X69" i="134" s="1"/>
  <c r="AA69" i="134" s="1"/>
  <c r="P69" i="134"/>
  <c r="W68" i="134"/>
  <c r="V68" i="134"/>
  <c r="T68" i="134"/>
  <c r="S68" i="134"/>
  <c r="R68" i="134"/>
  <c r="Q68" i="134"/>
  <c r="P68" i="134"/>
  <c r="W67" i="134"/>
  <c r="V67" i="134"/>
  <c r="T67" i="134"/>
  <c r="S67" i="134"/>
  <c r="R67" i="134"/>
  <c r="Q67" i="134"/>
  <c r="P67" i="134"/>
  <c r="W66" i="134"/>
  <c r="X66" i="134" s="1"/>
  <c r="AA66" i="134" s="1"/>
  <c r="V66" i="134"/>
  <c r="T66" i="134"/>
  <c r="S66" i="134"/>
  <c r="R66" i="134"/>
  <c r="Q66" i="134"/>
  <c r="P66" i="134"/>
  <c r="W65" i="134"/>
  <c r="V65" i="134"/>
  <c r="T65" i="134"/>
  <c r="S65" i="134"/>
  <c r="R65" i="134"/>
  <c r="Q65" i="134"/>
  <c r="P65" i="134"/>
  <c r="W64" i="134"/>
  <c r="V64" i="134"/>
  <c r="T64" i="134"/>
  <c r="X64" i="134" s="1"/>
  <c r="AA64" i="134" s="1"/>
  <c r="S64" i="134"/>
  <c r="R64" i="134"/>
  <c r="Q64" i="134"/>
  <c r="P64" i="134"/>
  <c r="W63" i="134"/>
  <c r="V63" i="134"/>
  <c r="T63" i="134"/>
  <c r="S63" i="134"/>
  <c r="X63" i="134" s="1"/>
  <c r="AA63" i="134" s="1"/>
  <c r="R63" i="134"/>
  <c r="Q63" i="134"/>
  <c r="P63" i="134"/>
  <c r="W62" i="134"/>
  <c r="V62" i="134"/>
  <c r="T62" i="134"/>
  <c r="S62" i="134"/>
  <c r="R62" i="134"/>
  <c r="X62" i="134" s="1"/>
  <c r="AA62" i="134" s="1"/>
  <c r="Q62" i="134"/>
  <c r="P62" i="134"/>
  <c r="W61" i="134"/>
  <c r="V61" i="134"/>
  <c r="T61" i="134"/>
  <c r="S61" i="134"/>
  <c r="R61" i="134"/>
  <c r="Q61" i="134"/>
  <c r="P61" i="134"/>
  <c r="W60" i="134"/>
  <c r="V60" i="134"/>
  <c r="T60" i="134"/>
  <c r="S60" i="134"/>
  <c r="R60" i="134"/>
  <c r="Q60" i="134"/>
  <c r="P60" i="134"/>
  <c r="X60" i="134" s="1"/>
  <c r="AA60" i="134" s="1"/>
  <c r="W59" i="134"/>
  <c r="V59" i="134"/>
  <c r="T59" i="134"/>
  <c r="S59" i="134"/>
  <c r="R59" i="134"/>
  <c r="Q59" i="134"/>
  <c r="P59" i="134"/>
  <c r="W58" i="134"/>
  <c r="V58" i="134"/>
  <c r="T58" i="134"/>
  <c r="S58" i="134"/>
  <c r="R58" i="134"/>
  <c r="Q58" i="134"/>
  <c r="P58" i="134"/>
  <c r="W57" i="134"/>
  <c r="V57" i="134"/>
  <c r="X57" i="134" s="1"/>
  <c r="AA57" i="134" s="1"/>
  <c r="T57" i="134"/>
  <c r="S57" i="134"/>
  <c r="R57" i="134"/>
  <c r="Q57" i="134"/>
  <c r="P57" i="134"/>
  <c r="W56" i="134"/>
  <c r="V56" i="134"/>
  <c r="T56" i="134"/>
  <c r="S56" i="134"/>
  <c r="R56" i="134"/>
  <c r="Q56" i="134"/>
  <c r="P56" i="134"/>
  <c r="W55" i="134"/>
  <c r="V55" i="134"/>
  <c r="T55" i="134"/>
  <c r="S55" i="134"/>
  <c r="X55" i="134" s="1"/>
  <c r="AA55" i="134" s="1"/>
  <c r="R55" i="134"/>
  <c r="Q55" i="134"/>
  <c r="P55" i="134"/>
  <c r="W54" i="134"/>
  <c r="V54" i="134"/>
  <c r="T54" i="134"/>
  <c r="S54" i="134"/>
  <c r="R54" i="134"/>
  <c r="X54" i="134" s="1"/>
  <c r="AA54" i="134" s="1"/>
  <c r="Q54" i="134"/>
  <c r="P54" i="134"/>
  <c r="W53" i="134"/>
  <c r="V53" i="134"/>
  <c r="T53" i="134"/>
  <c r="S53" i="134"/>
  <c r="R53" i="134"/>
  <c r="Q53" i="134"/>
  <c r="P53" i="134"/>
  <c r="W52" i="134"/>
  <c r="V52" i="134"/>
  <c r="T52" i="134"/>
  <c r="S52" i="134"/>
  <c r="R52" i="134"/>
  <c r="Q52" i="134"/>
  <c r="P52" i="134"/>
  <c r="X52" i="134" s="1"/>
  <c r="AA52" i="134" s="1"/>
  <c r="W51" i="134"/>
  <c r="V51" i="134"/>
  <c r="T51" i="134"/>
  <c r="S51" i="134"/>
  <c r="R51" i="134"/>
  <c r="Q51" i="134"/>
  <c r="P51" i="134"/>
  <c r="W50" i="134"/>
  <c r="X50" i="134" s="1"/>
  <c r="AA50" i="134" s="1"/>
  <c r="V50" i="134"/>
  <c r="T50" i="134"/>
  <c r="S50" i="134"/>
  <c r="R50" i="134"/>
  <c r="Q50" i="134"/>
  <c r="P50" i="134"/>
  <c r="W49" i="134"/>
  <c r="V49" i="134"/>
  <c r="T49" i="134"/>
  <c r="S49" i="134"/>
  <c r="R49" i="134"/>
  <c r="Q49" i="134"/>
  <c r="P49" i="134"/>
  <c r="W48" i="134"/>
  <c r="V48" i="134"/>
  <c r="T48" i="134"/>
  <c r="X48" i="134" s="1"/>
  <c r="AA48" i="134" s="1"/>
  <c r="S48" i="134"/>
  <c r="R48" i="134"/>
  <c r="Q48" i="134"/>
  <c r="P48" i="134"/>
  <c r="W47" i="134"/>
  <c r="V47" i="134"/>
  <c r="T47" i="134"/>
  <c r="S47" i="134"/>
  <c r="X47" i="134" s="1"/>
  <c r="AA47" i="134" s="1"/>
  <c r="R47" i="134"/>
  <c r="Q47" i="134"/>
  <c r="P47" i="134"/>
  <c r="W46" i="134"/>
  <c r="V46" i="134"/>
  <c r="T46" i="134"/>
  <c r="S46" i="134"/>
  <c r="R46" i="134"/>
  <c r="Q46" i="134"/>
  <c r="P46" i="134"/>
  <c r="W45" i="134"/>
  <c r="V45" i="134"/>
  <c r="T45" i="134"/>
  <c r="S45" i="134"/>
  <c r="R45" i="134"/>
  <c r="Q45" i="134"/>
  <c r="P45" i="134"/>
  <c r="W44" i="134"/>
  <c r="V44" i="134"/>
  <c r="T44" i="134"/>
  <c r="S44" i="134"/>
  <c r="R44" i="134"/>
  <c r="Q44" i="134"/>
  <c r="P44" i="134"/>
  <c r="X44" i="134" s="1"/>
  <c r="AA44" i="134" s="1"/>
  <c r="W43" i="134"/>
  <c r="V43" i="134"/>
  <c r="T43" i="134"/>
  <c r="S43" i="134"/>
  <c r="R43" i="134"/>
  <c r="Q43" i="134"/>
  <c r="P43" i="134"/>
  <c r="W42" i="134"/>
  <c r="V42" i="134"/>
  <c r="T42" i="134"/>
  <c r="S42" i="134"/>
  <c r="R42" i="134"/>
  <c r="Q42" i="134"/>
  <c r="P42" i="134"/>
  <c r="W41" i="134"/>
  <c r="V41" i="134"/>
  <c r="X41" i="134" s="1"/>
  <c r="AA41" i="134" s="1"/>
  <c r="T41" i="134"/>
  <c r="S41" i="134"/>
  <c r="R41" i="134"/>
  <c r="Q41" i="134"/>
  <c r="P41" i="134"/>
  <c r="W40" i="134"/>
  <c r="V40" i="134"/>
  <c r="T40" i="134"/>
  <c r="X40" i="134" s="1"/>
  <c r="AA40" i="134" s="1"/>
  <c r="S40" i="134"/>
  <c r="R40" i="134"/>
  <c r="Q40" i="134"/>
  <c r="P40" i="134"/>
  <c r="W39" i="134"/>
  <c r="V39" i="134"/>
  <c r="T39" i="134"/>
  <c r="S39" i="134"/>
  <c r="X39" i="134" s="1"/>
  <c r="AA39" i="134" s="1"/>
  <c r="R39" i="134"/>
  <c r="Q39" i="134"/>
  <c r="P39" i="134"/>
  <c r="W38" i="134"/>
  <c r="V38" i="134"/>
  <c r="T38" i="134"/>
  <c r="S38" i="134"/>
  <c r="R38" i="134"/>
  <c r="Q38" i="134"/>
  <c r="P38" i="134"/>
  <c r="W37" i="134"/>
  <c r="V37" i="134"/>
  <c r="T37" i="134"/>
  <c r="S37" i="134"/>
  <c r="R37" i="134"/>
  <c r="Q37" i="134"/>
  <c r="X37" i="134" s="1"/>
  <c r="AA37" i="134" s="1"/>
  <c r="P37" i="134"/>
  <c r="W36" i="134"/>
  <c r="V36" i="134"/>
  <c r="T36" i="134"/>
  <c r="S36" i="134"/>
  <c r="R36" i="134"/>
  <c r="Q36" i="134"/>
  <c r="P36" i="134"/>
  <c r="X36" i="134" s="1"/>
  <c r="AA36" i="134" s="1"/>
  <c r="W35" i="134"/>
  <c r="V35" i="134"/>
  <c r="T35" i="134"/>
  <c r="S35" i="134"/>
  <c r="R35" i="134"/>
  <c r="Q35" i="134"/>
  <c r="P35" i="134"/>
  <c r="W34" i="134"/>
  <c r="X34" i="134" s="1"/>
  <c r="AA34" i="134" s="1"/>
  <c r="V34" i="134"/>
  <c r="T34" i="134"/>
  <c r="S34" i="134"/>
  <c r="R34" i="134"/>
  <c r="Q34" i="134"/>
  <c r="P34" i="134"/>
  <c r="W33" i="134"/>
  <c r="V33" i="134"/>
  <c r="T33" i="134"/>
  <c r="S33" i="134"/>
  <c r="R33" i="134"/>
  <c r="Q33" i="134"/>
  <c r="P33" i="134"/>
  <c r="W32" i="134"/>
  <c r="V32" i="134"/>
  <c r="T32" i="134"/>
  <c r="X32" i="134" s="1"/>
  <c r="AA32" i="134" s="1"/>
  <c r="S32" i="134"/>
  <c r="R32" i="134"/>
  <c r="Q32" i="134"/>
  <c r="P32" i="134"/>
  <c r="W31" i="134"/>
  <c r="V31" i="134"/>
  <c r="T31" i="134"/>
  <c r="S31" i="134"/>
  <c r="X31" i="134" s="1"/>
  <c r="AA31" i="134" s="1"/>
  <c r="R31" i="134"/>
  <c r="Q31" i="134"/>
  <c r="P31" i="134"/>
  <c r="W30" i="134"/>
  <c r="V30" i="134"/>
  <c r="T30" i="134"/>
  <c r="S30" i="134"/>
  <c r="R30" i="134"/>
  <c r="X30" i="134" s="1"/>
  <c r="AA30" i="134" s="1"/>
  <c r="Q30" i="134"/>
  <c r="P30" i="134"/>
  <c r="W29" i="134"/>
  <c r="V29" i="134"/>
  <c r="T29" i="134"/>
  <c r="S29" i="134"/>
  <c r="R29" i="134"/>
  <c r="Q29" i="134"/>
  <c r="X29" i="134" s="1"/>
  <c r="AA29" i="134" s="1"/>
  <c r="P29" i="134"/>
  <c r="W28" i="134"/>
  <c r="V28" i="134"/>
  <c r="T28" i="134"/>
  <c r="S28" i="134"/>
  <c r="R28" i="134"/>
  <c r="Q28" i="134"/>
  <c r="P28" i="134"/>
  <c r="X28" i="134" s="1"/>
  <c r="AA28" i="134" s="1"/>
  <c r="W27" i="134"/>
  <c r="V27" i="134"/>
  <c r="T27" i="134"/>
  <c r="S27" i="134"/>
  <c r="X27" i="134" s="1"/>
  <c r="AA27" i="134" s="1"/>
  <c r="R27" i="134"/>
  <c r="Q27" i="134"/>
  <c r="P27" i="134"/>
  <c r="W26" i="134"/>
  <c r="V26" i="134"/>
  <c r="T26" i="134"/>
  <c r="S26" i="134"/>
  <c r="R26" i="134"/>
  <c r="Q26" i="134"/>
  <c r="P26" i="134"/>
  <c r="W25" i="134"/>
  <c r="V25" i="134"/>
  <c r="T25" i="134"/>
  <c r="S25" i="134"/>
  <c r="R25" i="134"/>
  <c r="Q25" i="134"/>
  <c r="P25" i="134"/>
  <c r="W24" i="134"/>
  <c r="V24" i="134"/>
  <c r="T24" i="134"/>
  <c r="S24" i="134"/>
  <c r="R24" i="134"/>
  <c r="Q24" i="134"/>
  <c r="P24" i="134"/>
  <c r="W23" i="134"/>
  <c r="V23" i="134"/>
  <c r="T23" i="134"/>
  <c r="S23" i="134"/>
  <c r="X23" i="134" s="1"/>
  <c r="AA23" i="134" s="1"/>
  <c r="R23" i="134"/>
  <c r="Q23" i="134"/>
  <c r="P23" i="134"/>
  <c r="W22" i="134"/>
  <c r="V22" i="134"/>
  <c r="T22" i="134"/>
  <c r="S22" i="134"/>
  <c r="R22" i="134"/>
  <c r="X22" i="134" s="1"/>
  <c r="AA22" i="134" s="1"/>
  <c r="Q22" i="134"/>
  <c r="P22" i="134"/>
  <c r="W21" i="134"/>
  <c r="V21" i="134"/>
  <c r="T21" i="134"/>
  <c r="S21" i="134"/>
  <c r="R21" i="134"/>
  <c r="Q21" i="134"/>
  <c r="X21" i="134" s="1"/>
  <c r="AA21" i="134" s="1"/>
  <c r="P21" i="134"/>
  <c r="W20" i="134"/>
  <c r="V20" i="134"/>
  <c r="T20" i="134"/>
  <c r="S20" i="134"/>
  <c r="R20" i="134"/>
  <c r="Q20" i="134"/>
  <c r="P20" i="134"/>
  <c r="W19" i="134"/>
  <c r="V19" i="134"/>
  <c r="T19" i="134"/>
  <c r="S19" i="134"/>
  <c r="R19" i="134"/>
  <c r="Q19" i="134"/>
  <c r="P19" i="134"/>
  <c r="W18" i="134"/>
  <c r="X18" i="134" s="1"/>
  <c r="AA18" i="134" s="1"/>
  <c r="V18" i="134"/>
  <c r="T18" i="134"/>
  <c r="S18" i="134"/>
  <c r="R18" i="134"/>
  <c r="Q18" i="134"/>
  <c r="P18" i="134"/>
  <c r="W17" i="134"/>
  <c r="V17" i="134"/>
  <c r="T17" i="134"/>
  <c r="S17" i="134"/>
  <c r="R17" i="134"/>
  <c r="Q17" i="134"/>
  <c r="P17" i="134"/>
  <c r="W16" i="134"/>
  <c r="V16" i="134"/>
  <c r="T16" i="134"/>
  <c r="X16" i="134" s="1"/>
  <c r="AA16" i="134" s="1"/>
  <c r="S16" i="134"/>
  <c r="R16" i="134"/>
  <c r="Q16" i="134"/>
  <c r="P16" i="134"/>
  <c r="W15" i="134"/>
  <c r="V15" i="134"/>
  <c r="T15" i="134"/>
  <c r="S15" i="134"/>
  <c r="X15" i="134" s="1"/>
  <c r="AA15" i="134" s="1"/>
  <c r="R15" i="134"/>
  <c r="Q15" i="134"/>
  <c r="P15" i="134"/>
  <c r="W14" i="134"/>
  <c r="V14" i="134"/>
  <c r="T14" i="134"/>
  <c r="S14" i="134"/>
  <c r="R14" i="134"/>
  <c r="Q14" i="134"/>
  <c r="P14" i="134"/>
  <c r="W13" i="134"/>
  <c r="V13" i="134"/>
  <c r="T13" i="134"/>
  <c r="S13" i="134"/>
  <c r="R13" i="134"/>
  <c r="Q13" i="134"/>
  <c r="P13" i="134"/>
  <c r="W12" i="134"/>
  <c r="V12" i="134"/>
  <c r="T12" i="134"/>
  <c r="S12" i="134"/>
  <c r="R12" i="134"/>
  <c r="Q12" i="134"/>
  <c r="P12" i="134"/>
  <c r="X12" i="134" s="1"/>
  <c r="AA12" i="134" s="1"/>
  <c r="W11" i="134"/>
  <c r="V11" i="134"/>
  <c r="T11" i="134"/>
  <c r="S11" i="134"/>
  <c r="R11" i="134"/>
  <c r="Q11" i="134"/>
  <c r="P11" i="134"/>
  <c r="W10" i="134"/>
  <c r="W7" i="134" s="1"/>
  <c r="V10" i="134"/>
  <c r="T10" i="134"/>
  <c r="S10" i="134"/>
  <c r="R10" i="134"/>
  <c r="Q10" i="134"/>
  <c r="P10" i="134"/>
  <c r="W9" i="134"/>
  <c r="V9" i="134"/>
  <c r="V7" i="134" s="1"/>
  <c r="T9" i="134"/>
  <c r="S9" i="134"/>
  <c r="R9" i="134"/>
  <c r="Q9" i="134"/>
  <c r="P9" i="134"/>
  <c r="X14" i="134"/>
  <c r="AA14" i="134" s="1"/>
  <c r="X20" i="134"/>
  <c r="AA20" i="134" s="1"/>
  <c r="X19" i="134"/>
  <c r="AA19" i="134"/>
  <c r="X51" i="134"/>
  <c r="AA51" i="134" s="1"/>
  <c r="X75" i="134"/>
  <c r="AA75" i="134" s="1"/>
  <c r="X81" i="134"/>
  <c r="AA81" i="134" s="1"/>
  <c r="X91" i="134"/>
  <c r="AA91" i="134"/>
  <c r="AA98" i="134"/>
  <c r="X107" i="134"/>
  <c r="AA107" i="134" s="1"/>
  <c r="X123" i="134"/>
  <c r="AA123" i="134" s="1"/>
  <c r="X131" i="134"/>
  <c r="AA131" i="134"/>
  <c r="X134" i="134"/>
  <c r="AA134" i="134" s="1"/>
  <c r="AA135" i="134"/>
  <c r="X139" i="134"/>
  <c r="AA139" i="134"/>
  <c r="X142" i="134"/>
  <c r="AA142" i="134" s="1"/>
  <c r="X146" i="134"/>
  <c r="AA146" i="134" s="1"/>
  <c r="X147" i="134"/>
  <c r="AA147" i="134"/>
  <c r="X33" i="134"/>
  <c r="AA33" i="134" s="1"/>
  <c r="X42" i="134"/>
  <c r="AA42" i="134" s="1"/>
  <c r="X45" i="134"/>
  <c r="AA45" i="134" s="1"/>
  <c r="X53" i="134"/>
  <c r="AA53" i="134" s="1"/>
  <c r="X56" i="134"/>
  <c r="AA56" i="134" s="1"/>
  <c r="X59" i="134"/>
  <c r="AA59" i="134" s="1"/>
  <c r="X65" i="134"/>
  <c r="AA65" i="134" s="1"/>
  <c r="X68" i="134"/>
  <c r="AA68" i="134" s="1"/>
  <c r="X76" i="134"/>
  <c r="AA76" i="134" s="1"/>
  <c r="X79" i="134"/>
  <c r="AA79" i="134" s="1"/>
  <c r="X87" i="134"/>
  <c r="AA87" i="134" s="1"/>
  <c r="X90" i="134"/>
  <c r="AA90" i="134" s="1"/>
  <c r="X97" i="134"/>
  <c r="AA97" i="134" s="1"/>
  <c r="X100" i="134"/>
  <c r="AA100" i="134" s="1"/>
  <c r="X109" i="134"/>
  <c r="AA109" i="134" s="1"/>
  <c r="X112" i="134"/>
  <c r="AA112" i="134" s="1"/>
  <c r="X122" i="134"/>
  <c r="AA122" i="134" s="1"/>
  <c r="X140" i="134"/>
  <c r="AA140" i="134" s="1"/>
  <c r="X35" i="134"/>
  <c r="AA35" i="134" s="1"/>
  <c r="X38" i="134"/>
  <c r="AA38" i="134" s="1"/>
  <c r="X43" i="134"/>
  <c r="AA43" i="134" s="1"/>
  <c r="X46" i="134"/>
  <c r="AA46" i="134" s="1"/>
  <c r="X49" i="134"/>
  <c r="AA49" i="134" s="1"/>
  <c r="X58" i="134"/>
  <c r="AA58" i="134" s="1"/>
  <c r="X61" i="134"/>
  <c r="AA61" i="134" s="1"/>
  <c r="X67" i="134"/>
  <c r="AA67" i="134" s="1"/>
  <c r="X70" i="134"/>
  <c r="AA70" i="134" s="1"/>
  <c r="X73" i="134"/>
  <c r="AA73" i="134" s="1"/>
  <c r="X83" i="134"/>
  <c r="AA83" i="134" s="1"/>
  <c r="X86" i="134"/>
  <c r="AA86" i="134" s="1"/>
  <c r="X96" i="134"/>
  <c r="AA96" i="134" s="1"/>
  <c r="X99" i="134"/>
  <c r="AA99" i="134" s="1"/>
  <c r="X108" i="134"/>
  <c r="AA108" i="134" s="1"/>
  <c r="X111" i="134"/>
  <c r="AA111" i="134" s="1"/>
  <c r="X115" i="134"/>
  <c r="AA115" i="134" s="1"/>
  <c r="X121" i="134"/>
  <c r="AA121" i="134" s="1"/>
  <c r="X125" i="134"/>
  <c r="AA125" i="134" s="1"/>
  <c r="X141" i="134"/>
  <c r="AA141" i="134" s="1"/>
  <c r="X151" i="134"/>
  <c r="AA151" i="134" s="1"/>
  <c r="X152" i="134"/>
  <c r="AA152" i="134" s="1"/>
  <c r="X153" i="134"/>
  <c r="AA153" i="134" s="1"/>
  <c r="X154" i="134"/>
  <c r="AA154" i="134" s="1"/>
  <c r="X155" i="134"/>
  <c r="AA155" i="134" s="1"/>
  <c r="X156" i="134"/>
  <c r="AA156" i="134" s="1"/>
  <c r="X157" i="134"/>
  <c r="AA157" i="134" s="1"/>
  <c r="X158" i="134"/>
  <c r="AA158" i="134" s="1"/>
  <c r="X159" i="134"/>
  <c r="AA159" i="134" s="1"/>
  <c r="X160" i="134"/>
  <c r="AA160" i="134" s="1"/>
  <c r="X161" i="134"/>
  <c r="AA161" i="134" s="1"/>
  <c r="X162" i="134"/>
  <c r="AA162" i="134" s="1"/>
  <c r="X163" i="134"/>
  <c r="AA163" i="134" s="1"/>
  <c r="X164" i="134"/>
  <c r="AA164" i="134" s="1"/>
  <c r="X165" i="134"/>
  <c r="AA165" i="134" s="1"/>
  <c r="X166" i="134"/>
  <c r="AA166" i="134" s="1"/>
  <c r="X167" i="134"/>
  <c r="AA167" i="134" s="1"/>
  <c r="X168" i="134"/>
  <c r="AA168" i="134" s="1"/>
  <c r="X169" i="134"/>
  <c r="AA169" i="134" s="1"/>
  <c r="X170" i="134"/>
  <c r="AA170" i="134" s="1"/>
  <c r="X171" i="134"/>
  <c r="AA171" i="134" s="1"/>
  <c r="X172" i="134"/>
  <c r="AA172" i="134" s="1"/>
  <c r="X173" i="134"/>
  <c r="AA173" i="134" s="1"/>
  <c r="X174" i="134"/>
  <c r="AA174" i="134" s="1"/>
  <c r="X175" i="134"/>
  <c r="AA175" i="134" s="1"/>
  <c r="X176" i="134"/>
  <c r="AA176" i="134" s="1"/>
  <c r="X177" i="134"/>
  <c r="AA177" i="134" s="1"/>
  <c r="X178" i="134"/>
  <c r="AA178" i="134" s="1"/>
  <c r="X179" i="134"/>
  <c r="AA179" i="134" s="1"/>
  <c r="X180" i="134"/>
  <c r="AA180" i="134" s="1"/>
  <c r="X181" i="134"/>
  <c r="AA181" i="134" s="1"/>
  <c r="X182" i="134"/>
  <c r="AA182" i="134" s="1"/>
  <c r="X183" i="134"/>
  <c r="AA183" i="134" s="1"/>
  <c r="X184" i="134"/>
  <c r="AA184" i="134" s="1"/>
  <c r="X185" i="134"/>
  <c r="AA185" i="134" s="1"/>
  <c r="X186" i="134"/>
  <c r="AA186" i="134" s="1"/>
  <c r="X187" i="134"/>
  <c r="AA187" i="134" s="1"/>
  <c r="X188" i="134"/>
  <c r="AA188" i="134" s="1"/>
  <c r="X189" i="134"/>
  <c r="AA189" i="134" s="1"/>
  <c r="X190" i="134"/>
  <c r="AA190" i="134" s="1"/>
  <c r="X191" i="134"/>
  <c r="AA191" i="134" s="1"/>
  <c r="X192" i="134"/>
  <c r="AA192" i="134" s="1"/>
  <c r="X193" i="134"/>
  <c r="AA193" i="134" s="1"/>
  <c r="X194" i="134"/>
  <c r="AA194" i="134" s="1"/>
  <c r="X195" i="134"/>
  <c r="AA195" i="134" s="1"/>
  <c r="X196" i="134"/>
  <c r="AA196" i="134" s="1"/>
  <c r="X197" i="134"/>
  <c r="AA197" i="134" s="1"/>
  <c r="X198" i="134"/>
  <c r="AA198" i="134" s="1"/>
  <c r="X199" i="134"/>
  <c r="AA199" i="134" s="1"/>
  <c r="X200" i="134"/>
  <c r="AA200" i="134" s="1"/>
  <c r="X201" i="134"/>
  <c r="AA201" i="134" s="1"/>
  <c r="X202" i="134"/>
  <c r="AA202" i="134" s="1"/>
  <c r="X203" i="134"/>
  <c r="AA203" i="134" s="1"/>
  <c r="X204" i="134"/>
  <c r="AA204" i="134" s="1"/>
  <c r="X205" i="134"/>
  <c r="AA205" i="134" s="1"/>
  <c r="X206" i="134"/>
  <c r="AA206" i="134" s="1"/>
  <c r="X207" i="134"/>
  <c r="AA207" i="134" s="1"/>
  <c r="X208" i="134"/>
  <c r="AA208" i="134" s="1"/>
  <c r="X209" i="134"/>
  <c r="AA209" i="134" s="1"/>
  <c r="X210" i="134"/>
  <c r="AA210" i="134" s="1"/>
  <c r="X211" i="134"/>
  <c r="AA211" i="134" s="1"/>
  <c r="X212" i="134"/>
  <c r="AA212" i="134" s="1"/>
  <c r="X213" i="134"/>
  <c r="AA213" i="134" s="1"/>
  <c r="X214" i="134"/>
  <c r="AA214" i="134" s="1"/>
  <c r="X215" i="134"/>
  <c r="AA215" i="134" s="1"/>
  <c r="X216" i="134"/>
  <c r="AA216" i="134" s="1"/>
  <c r="X217" i="134"/>
  <c r="AA217" i="134" s="1"/>
  <c r="X218" i="134"/>
  <c r="AA218" i="134" s="1"/>
  <c r="X219" i="134"/>
  <c r="AA219" i="134" s="1"/>
  <c r="X220" i="134"/>
  <c r="AA220" i="134" s="1"/>
  <c r="X221" i="134"/>
  <c r="AA221" i="134" s="1"/>
  <c r="X222" i="134"/>
  <c r="AA222" i="134" s="1"/>
  <c r="X223" i="134"/>
  <c r="AA223" i="134" s="1"/>
  <c r="X224" i="134"/>
  <c r="AA224" i="134" s="1"/>
  <c r="X225" i="134"/>
  <c r="AA225" i="134" s="1"/>
  <c r="X226" i="134"/>
  <c r="AA226" i="134" s="1"/>
  <c r="X227" i="134"/>
  <c r="AA227" i="134" s="1"/>
  <c r="X228" i="134"/>
  <c r="AA228" i="134" s="1"/>
  <c r="X229" i="134"/>
  <c r="AA229" i="134" s="1"/>
  <c r="X230" i="134"/>
  <c r="AA230" i="134" s="1"/>
  <c r="X231" i="134"/>
  <c r="AA231" i="134" s="1"/>
  <c r="X232" i="134"/>
  <c r="AA232" i="134" s="1"/>
  <c r="X233" i="134"/>
  <c r="AA233" i="134" s="1"/>
  <c r="C7" i="134"/>
  <c r="C5" i="134" s="1"/>
  <c r="F45" i="105"/>
  <c r="I45" i="105"/>
  <c r="F44" i="105"/>
  <c r="I44" i="105"/>
  <c r="I29" i="105"/>
  <c r="I30" i="105"/>
  <c r="H11" i="105"/>
  <c r="F12" i="105"/>
  <c r="I12" i="105"/>
  <c r="I11" i="105"/>
  <c r="F11" i="105"/>
  <c r="G11" i="105"/>
  <c r="F7" i="105"/>
  <c r="I7" i="105"/>
  <c r="I6" i="105"/>
  <c r="H6" i="105"/>
  <c r="F6" i="105"/>
  <c r="G6" i="105"/>
  <c r="G12" i="105"/>
  <c r="J12" i="105"/>
  <c r="G44" i="105"/>
  <c r="G45" i="105"/>
  <c r="J45" i="105"/>
  <c r="G7" i="105"/>
  <c r="J7" i="105"/>
  <c r="J6" i="105"/>
  <c r="J11" i="105"/>
  <c r="J13" i="105"/>
  <c r="G8" i="105"/>
  <c r="G9" i="105"/>
  <c r="G47" i="105"/>
  <c r="G46" i="105"/>
  <c r="G13" i="105"/>
  <c r="J8" i="105"/>
  <c r="J44" i="105"/>
  <c r="G14" i="105"/>
  <c r="F39" i="105"/>
  <c r="F40" i="105"/>
  <c r="I35" i="105"/>
  <c r="I34" i="105"/>
  <c r="I39" i="105"/>
  <c r="G40" i="105"/>
  <c r="I40" i="105"/>
  <c r="I22" i="105"/>
  <c r="I21" i="105"/>
  <c r="G22" i="105"/>
  <c r="F17" i="105"/>
  <c r="I17" i="105"/>
  <c r="G35" i="105"/>
  <c r="J35" i="105"/>
  <c r="G30" i="105"/>
  <c r="G29" i="105"/>
  <c r="E21" i="105"/>
  <c r="G21" i="105"/>
  <c r="G31" i="105"/>
  <c r="G17" i="105"/>
  <c r="J17" i="105"/>
  <c r="J40" i="105"/>
  <c r="F16" i="105"/>
  <c r="I16" i="105"/>
  <c r="G41" i="105"/>
  <c r="J39" i="105"/>
  <c r="G42" i="105"/>
  <c r="G24" i="105"/>
  <c r="J22" i="105"/>
  <c r="J21" i="105"/>
  <c r="G23" i="105"/>
  <c r="G32" i="105"/>
  <c r="J29" i="105"/>
  <c r="J30" i="105"/>
  <c r="G34" i="105"/>
  <c r="J34" i="105"/>
  <c r="J41" i="105"/>
  <c r="G16" i="105"/>
  <c r="G18" i="105"/>
  <c r="G3" i="105"/>
  <c r="J23" i="105"/>
  <c r="G26" i="105"/>
  <c r="G36" i="105"/>
  <c r="J36" i="105"/>
  <c r="J31" i="105"/>
  <c r="G37" i="105"/>
  <c r="J46" i="105"/>
  <c r="G19" i="105"/>
  <c r="J16" i="105"/>
  <c r="J18" i="105"/>
  <c r="N66" i="128"/>
  <c r="G64" i="128"/>
  <c r="M66" i="128"/>
  <c r="M65" i="128"/>
  <c r="M64" i="128"/>
  <c r="M63" i="128"/>
  <c r="M62" i="128"/>
  <c r="M61" i="128"/>
  <c r="M60" i="128"/>
  <c r="M59" i="128"/>
  <c r="M58" i="128"/>
  <c r="M57" i="128"/>
  <c r="M56" i="128"/>
  <c r="M55" i="128"/>
  <c r="M54" i="128"/>
  <c r="M53" i="128"/>
  <c r="M52" i="128"/>
  <c r="O53" i="128"/>
  <c r="O59" i="128"/>
  <c r="O60" i="128"/>
  <c r="O61" i="128"/>
  <c r="O52" i="128"/>
  <c r="N65" i="128"/>
  <c r="O65" i="128"/>
  <c r="N64" i="128"/>
  <c r="O64" i="128"/>
  <c r="N63" i="128"/>
  <c r="O63" i="128"/>
  <c r="N62" i="128"/>
  <c r="O62" i="128"/>
  <c r="N61" i="128"/>
  <c r="N60" i="128"/>
  <c r="N59" i="128"/>
  <c r="N58" i="128"/>
  <c r="O58" i="128"/>
  <c r="N57" i="128"/>
  <c r="O57" i="128"/>
  <c r="N56" i="128"/>
  <c r="O56" i="128"/>
  <c r="N55" i="128"/>
  <c r="O55" i="128"/>
  <c r="N54" i="128"/>
  <c r="O54" i="128"/>
  <c r="N53" i="128"/>
  <c r="N52" i="128"/>
  <c r="O66" i="128"/>
  <c r="V54" i="120"/>
  <c r="V53" i="120"/>
  <c r="V52" i="120"/>
  <c r="V55" i="120"/>
  <c r="V56" i="120"/>
  <c r="X99" i="131"/>
  <c r="W99" i="131"/>
  <c r="V99" i="131"/>
  <c r="U99" i="131"/>
  <c r="T99" i="131"/>
  <c r="S99" i="131"/>
  <c r="R99" i="131"/>
  <c r="Q99" i="131"/>
  <c r="P99" i="131"/>
  <c r="O99" i="131"/>
  <c r="N99" i="131"/>
  <c r="M99" i="131"/>
  <c r="F97" i="131"/>
  <c r="X94" i="131"/>
  <c r="W94" i="131"/>
  <c r="V94" i="131"/>
  <c r="U94" i="131"/>
  <c r="T94" i="131"/>
  <c r="S94" i="131"/>
  <c r="R94" i="131"/>
  <c r="Q94" i="131"/>
  <c r="P94" i="131"/>
  <c r="O94" i="131"/>
  <c r="N94" i="131"/>
  <c r="M94" i="131"/>
  <c r="G93" i="131"/>
  <c r="I93" i="131"/>
  <c r="X91" i="131"/>
  <c r="W91" i="131"/>
  <c r="V91" i="131"/>
  <c r="U91" i="131"/>
  <c r="T91" i="131"/>
  <c r="S91" i="131"/>
  <c r="R91" i="131"/>
  <c r="Q91" i="131"/>
  <c r="P91" i="131"/>
  <c r="O91" i="131"/>
  <c r="N91" i="131"/>
  <c r="M91" i="131"/>
  <c r="R90" i="131"/>
  <c r="R92" i="131"/>
  <c r="R103" i="131"/>
  <c r="G90" i="131"/>
  <c r="I90" i="131"/>
  <c r="J87" i="131"/>
  <c r="G87" i="131"/>
  <c r="X84" i="131"/>
  <c r="W84" i="131"/>
  <c r="V84" i="131"/>
  <c r="U84" i="131"/>
  <c r="T84" i="131"/>
  <c r="S84" i="131"/>
  <c r="S90" i="131"/>
  <c r="R84" i="131"/>
  <c r="R93" i="131"/>
  <c r="R95" i="131"/>
  <c r="R104" i="131"/>
  <c r="Q84" i="131"/>
  <c r="P84" i="131"/>
  <c r="O84" i="131"/>
  <c r="N84" i="131"/>
  <c r="M84" i="131"/>
  <c r="X81" i="131"/>
  <c r="W81" i="131"/>
  <c r="V81" i="131"/>
  <c r="U81" i="131"/>
  <c r="T81" i="131"/>
  <c r="S81" i="131"/>
  <c r="R81" i="131"/>
  <c r="Q81" i="131"/>
  <c r="P81" i="131"/>
  <c r="O81" i="131"/>
  <c r="N81" i="131"/>
  <c r="M81" i="131"/>
  <c r="F79" i="131"/>
  <c r="X66" i="131"/>
  <c r="W66" i="131"/>
  <c r="V66" i="131"/>
  <c r="U66" i="131"/>
  <c r="T66" i="131"/>
  <c r="S66" i="131"/>
  <c r="R66" i="131"/>
  <c r="Q66" i="131"/>
  <c r="P66" i="131"/>
  <c r="O66" i="131"/>
  <c r="N66" i="131"/>
  <c r="M66" i="131"/>
  <c r="F64" i="131"/>
  <c r="X60" i="131"/>
  <c r="X62" i="131"/>
  <c r="X59" i="131"/>
  <c r="X58" i="131"/>
  <c r="W60" i="131"/>
  <c r="W62" i="131"/>
  <c r="V60" i="131"/>
  <c r="V62" i="131"/>
  <c r="U60" i="131"/>
  <c r="U62" i="131"/>
  <c r="U70" i="131"/>
  <c r="T60" i="131"/>
  <c r="T62" i="131"/>
  <c r="S60" i="131"/>
  <c r="S62" i="131"/>
  <c r="R60" i="131"/>
  <c r="R62" i="131"/>
  <c r="Q60" i="131"/>
  <c r="Q62" i="131"/>
  <c r="P60" i="131"/>
  <c r="P62" i="131"/>
  <c r="O60" i="131"/>
  <c r="O62" i="131"/>
  <c r="O59" i="131"/>
  <c r="O58" i="131"/>
  <c r="N60" i="131"/>
  <c r="N62" i="131"/>
  <c r="M60" i="131"/>
  <c r="J60" i="131"/>
  <c r="I60" i="131"/>
  <c r="L57" i="131"/>
  <c r="X54" i="131"/>
  <c r="X56" i="131"/>
  <c r="X53" i="131"/>
  <c r="W54" i="131"/>
  <c r="W56" i="131"/>
  <c r="W53" i="131"/>
  <c r="V54" i="131"/>
  <c r="V56" i="131"/>
  <c r="V53" i="131"/>
  <c r="U54" i="131"/>
  <c r="U56" i="131"/>
  <c r="U53" i="131"/>
  <c r="T54" i="131"/>
  <c r="T56" i="131"/>
  <c r="T53" i="131"/>
  <c r="S54" i="131"/>
  <c r="S56" i="131"/>
  <c r="S53" i="131"/>
  <c r="S52" i="131"/>
  <c r="R54" i="131"/>
  <c r="R56" i="131"/>
  <c r="R53" i="131"/>
  <c r="Q54" i="131"/>
  <c r="Q56" i="131"/>
  <c r="Q53" i="131"/>
  <c r="P54" i="131"/>
  <c r="P56" i="131"/>
  <c r="P53" i="131"/>
  <c r="O54" i="131"/>
  <c r="O56" i="131"/>
  <c r="O53" i="131"/>
  <c r="O52" i="131"/>
  <c r="N54" i="131"/>
  <c r="N56" i="131"/>
  <c r="N53" i="131"/>
  <c r="M54" i="131"/>
  <c r="M56" i="131"/>
  <c r="J54" i="131"/>
  <c r="I54" i="131"/>
  <c r="L51" i="131"/>
  <c r="X48" i="131"/>
  <c r="X50" i="131"/>
  <c r="X77" i="131"/>
  <c r="W48" i="131"/>
  <c r="W50" i="131"/>
  <c r="W77" i="131"/>
  <c r="V48" i="131"/>
  <c r="V50" i="131"/>
  <c r="V77" i="131"/>
  <c r="U48" i="131"/>
  <c r="U50" i="131"/>
  <c r="U77" i="131"/>
  <c r="T48" i="131"/>
  <c r="T50" i="131"/>
  <c r="T77" i="131"/>
  <c r="S48" i="131"/>
  <c r="S50" i="131"/>
  <c r="S77" i="131"/>
  <c r="R48" i="131"/>
  <c r="R50" i="131"/>
  <c r="R77" i="131"/>
  <c r="Q48" i="131"/>
  <c r="Q50" i="131"/>
  <c r="Q77" i="131"/>
  <c r="P48" i="131"/>
  <c r="P50" i="131"/>
  <c r="P77" i="131"/>
  <c r="O48" i="131"/>
  <c r="O50" i="131"/>
  <c r="O77" i="131"/>
  <c r="N48" i="131"/>
  <c r="N50" i="131"/>
  <c r="N77" i="131"/>
  <c r="M48" i="131"/>
  <c r="M50" i="131"/>
  <c r="M77" i="131"/>
  <c r="J48" i="131"/>
  <c r="I48" i="131"/>
  <c r="X45" i="131"/>
  <c r="X47" i="131"/>
  <c r="W45" i="131"/>
  <c r="W47" i="131"/>
  <c r="V45" i="131"/>
  <c r="V47" i="131"/>
  <c r="U45" i="131"/>
  <c r="U47" i="131"/>
  <c r="T45" i="131"/>
  <c r="T47" i="131"/>
  <c r="S45" i="131"/>
  <c r="S47" i="131"/>
  <c r="R45" i="131"/>
  <c r="R47" i="131"/>
  <c r="Q45" i="131"/>
  <c r="Q47" i="131"/>
  <c r="P45" i="131"/>
  <c r="P47" i="131"/>
  <c r="O45" i="131"/>
  <c r="O47" i="131"/>
  <c r="N45" i="131"/>
  <c r="N47" i="131"/>
  <c r="M45" i="131"/>
  <c r="J45" i="131"/>
  <c r="I45" i="131"/>
  <c r="L42" i="131"/>
  <c r="X39" i="131"/>
  <c r="W39" i="131"/>
  <c r="T39" i="131"/>
  <c r="S39" i="131"/>
  <c r="R39" i="131"/>
  <c r="Q39" i="131"/>
  <c r="P39" i="131"/>
  <c r="O39" i="131"/>
  <c r="N39" i="131"/>
  <c r="M39" i="131"/>
  <c r="X38" i="131"/>
  <c r="W38" i="131"/>
  <c r="W40" i="131"/>
  <c r="W74" i="131"/>
  <c r="V38" i="131"/>
  <c r="V40" i="131"/>
  <c r="V74" i="131"/>
  <c r="U38" i="131"/>
  <c r="U40" i="131"/>
  <c r="U74" i="131"/>
  <c r="T38" i="131"/>
  <c r="S38" i="131"/>
  <c r="R38" i="131"/>
  <c r="R40" i="131"/>
  <c r="R74" i="131"/>
  <c r="Q38" i="131"/>
  <c r="P38" i="131"/>
  <c r="O38" i="131"/>
  <c r="N38" i="131"/>
  <c r="M38" i="131"/>
  <c r="I38" i="131"/>
  <c r="X36" i="131"/>
  <c r="J35" i="131"/>
  <c r="X35" i="131"/>
  <c r="W35" i="131"/>
  <c r="W37" i="131"/>
  <c r="W73" i="131"/>
  <c r="V35" i="131"/>
  <c r="V37" i="131"/>
  <c r="V73" i="131"/>
  <c r="U35" i="131"/>
  <c r="U37" i="131"/>
  <c r="U73" i="131"/>
  <c r="T35" i="131"/>
  <c r="T37" i="131"/>
  <c r="T73" i="131"/>
  <c r="S35" i="131"/>
  <c r="S37" i="131"/>
  <c r="S73" i="131"/>
  <c r="R35" i="131"/>
  <c r="R37" i="131"/>
  <c r="R73" i="131"/>
  <c r="Q35" i="131"/>
  <c r="Q37" i="131"/>
  <c r="Q73" i="131"/>
  <c r="P35" i="131"/>
  <c r="P37" i="131"/>
  <c r="P73" i="131"/>
  <c r="O35" i="131"/>
  <c r="O37" i="131"/>
  <c r="O73" i="131"/>
  <c r="N35" i="131"/>
  <c r="N37" i="131"/>
  <c r="N73" i="131"/>
  <c r="M35" i="131"/>
  <c r="I35" i="131"/>
  <c r="X32" i="131"/>
  <c r="X34" i="131"/>
  <c r="X75" i="131"/>
  <c r="W32" i="131"/>
  <c r="W34" i="131"/>
  <c r="W75" i="131"/>
  <c r="V32" i="131"/>
  <c r="V34" i="131"/>
  <c r="V75" i="131"/>
  <c r="U32" i="131"/>
  <c r="U34" i="131"/>
  <c r="U75" i="131"/>
  <c r="T32" i="131"/>
  <c r="T34" i="131"/>
  <c r="T75" i="131"/>
  <c r="S32" i="131"/>
  <c r="S34" i="131"/>
  <c r="S75" i="131"/>
  <c r="R32" i="131"/>
  <c r="R34" i="131"/>
  <c r="R75" i="131"/>
  <c r="Q32" i="131"/>
  <c r="Q34" i="131"/>
  <c r="Q75" i="131"/>
  <c r="P32" i="131"/>
  <c r="P34" i="131"/>
  <c r="P75" i="131"/>
  <c r="O32" i="131"/>
  <c r="O34" i="131"/>
  <c r="O75" i="131"/>
  <c r="N32" i="131"/>
  <c r="N34" i="131"/>
  <c r="N75" i="131"/>
  <c r="M32" i="131"/>
  <c r="J32" i="131"/>
  <c r="I32" i="131"/>
  <c r="X30" i="131"/>
  <c r="M30" i="131"/>
  <c r="J29" i="131"/>
  <c r="X29" i="131"/>
  <c r="X31" i="131"/>
  <c r="X72" i="131"/>
  <c r="W29" i="131"/>
  <c r="W31" i="131"/>
  <c r="W72" i="131"/>
  <c r="V29" i="131"/>
  <c r="V31" i="131"/>
  <c r="V72" i="131"/>
  <c r="U29" i="131"/>
  <c r="U31" i="131"/>
  <c r="U72" i="131"/>
  <c r="T29" i="131"/>
  <c r="T31" i="131"/>
  <c r="T72" i="131"/>
  <c r="S29" i="131"/>
  <c r="S31" i="131"/>
  <c r="S72" i="131"/>
  <c r="R29" i="131"/>
  <c r="R31" i="131"/>
  <c r="R72" i="131"/>
  <c r="Q29" i="131"/>
  <c r="Q31" i="131"/>
  <c r="Q72" i="131"/>
  <c r="P29" i="131"/>
  <c r="P31" i="131"/>
  <c r="P72" i="131"/>
  <c r="O29" i="131"/>
  <c r="O31" i="131"/>
  <c r="O72" i="131"/>
  <c r="N29" i="131"/>
  <c r="N31" i="131"/>
  <c r="M29" i="131"/>
  <c r="I29" i="131"/>
  <c r="X27" i="131"/>
  <c r="J26" i="131"/>
  <c r="X26" i="131"/>
  <c r="W26" i="131"/>
  <c r="W28" i="131"/>
  <c r="W69" i="131"/>
  <c r="V26" i="131"/>
  <c r="V28" i="131"/>
  <c r="V69" i="131"/>
  <c r="U26" i="131"/>
  <c r="U28" i="131"/>
  <c r="U69" i="131"/>
  <c r="T26" i="131"/>
  <c r="T28" i="131"/>
  <c r="T69" i="131"/>
  <c r="S26" i="131"/>
  <c r="S28" i="131"/>
  <c r="S69" i="131"/>
  <c r="R26" i="131"/>
  <c r="R28" i="131"/>
  <c r="R69" i="131"/>
  <c r="Q26" i="131"/>
  <c r="Q28" i="131"/>
  <c r="Q69" i="131"/>
  <c r="P26" i="131"/>
  <c r="P28" i="131"/>
  <c r="P69" i="131"/>
  <c r="O26" i="131"/>
  <c r="O28" i="131"/>
  <c r="O69" i="131"/>
  <c r="N26" i="131"/>
  <c r="N28" i="131"/>
  <c r="N69" i="131"/>
  <c r="M26" i="131"/>
  <c r="M28" i="131"/>
  <c r="M69" i="131"/>
  <c r="I26" i="131"/>
  <c r="X23" i="131"/>
  <c r="X25" i="131"/>
  <c r="X76" i="131"/>
  <c r="W23" i="131"/>
  <c r="W25" i="131"/>
  <c r="W76" i="131"/>
  <c r="V23" i="131"/>
  <c r="V25" i="131"/>
  <c r="V76" i="131"/>
  <c r="U23" i="131"/>
  <c r="U25" i="131"/>
  <c r="T23" i="131"/>
  <c r="T25" i="131"/>
  <c r="T76" i="131"/>
  <c r="S23" i="131"/>
  <c r="S25" i="131"/>
  <c r="R23" i="131"/>
  <c r="R25" i="131"/>
  <c r="R76" i="131"/>
  <c r="Q23" i="131"/>
  <c r="Q25" i="131"/>
  <c r="P23" i="131"/>
  <c r="P25" i="131"/>
  <c r="O23" i="131"/>
  <c r="O25" i="131"/>
  <c r="O76" i="131"/>
  <c r="N23" i="131"/>
  <c r="N25" i="131"/>
  <c r="N76" i="131"/>
  <c r="M23" i="131"/>
  <c r="M25" i="131"/>
  <c r="J23" i="131"/>
  <c r="I23" i="131"/>
  <c r="L20" i="131"/>
  <c r="X17" i="131"/>
  <c r="W17" i="131"/>
  <c r="V17" i="131"/>
  <c r="U17" i="131"/>
  <c r="T17" i="131"/>
  <c r="S17" i="131"/>
  <c r="R17" i="131"/>
  <c r="Q17" i="131"/>
  <c r="P17" i="131"/>
  <c r="O17" i="131"/>
  <c r="N17" i="131"/>
  <c r="M17" i="131"/>
  <c r="F15" i="131"/>
  <c r="L13" i="131"/>
  <c r="L12" i="131"/>
  <c r="L11" i="131"/>
  <c r="L10" i="131"/>
  <c r="L9" i="131"/>
  <c r="L8" i="131"/>
  <c r="L7" i="131"/>
  <c r="L6" i="131"/>
  <c r="L5" i="131"/>
  <c r="L4" i="131"/>
  <c r="L3" i="131"/>
  <c r="L2" i="131"/>
  <c r="P40" i="97"/>
  <c r="O43" i="97"/>
  <c r="O42" i="97"/>
  <c r="O41" i="97"/>
  <c r="O40" i="97"/>
  <c r="N45" i="97"/>
  <c r="O45" i="97"/>
  <c r="P39" i="97"/>
  <c r="P41" i="97"/>
  <c r="P42" i="97"/>
  <c r="P43" i="97"/>
  <c r="N43" i="97"/>
  <c r="N41" i="97"/>
  <c r="N40" i="97"/>
  <c r="M9" i="115"/>
  <c r="X71" i="131"/>
  <c r="T71" i="131"/>
  <c r="M93" i="131"/>
  <c r="M95" i="131"/>
  <c r="U93" i="131"/>
  <c r="U95" i="131"/>
  <c r="U104" i="131"/>
  <c r="P71" i="131"/>
  <c r="M31" i="131"/>
  <c r="M72" i="131"/>
  <c r="M40" i="131"/>
  <c r="N40" i="131"/>
  <c r="N74" i="131"/>
  <c r="N64" i="131"/>
  <c r="O40" i="131"/>
  <c r="O74" i="131"/>
  <c r="P40" i="131"/>
  <c r="P74" i="131"/>
  <c r="V93" i="131"/>
  <c r="V95" i="131"/>
  <c r="V104" i="131"/>
  <c r="T90" i="131"/>
  <c r="T92" i="131"/>
  <c r="T103" i="131"/>
  <c r="J93" i="131"/>
  <c r="W59" i="131"/>
  <c r="W58" i="131"/>
  <c r="W70" i="131"/>
  <c r="P59" i="131"/>
  <c r="P58" i="131"/>
  <c r="P70" i="131"/>
  <c r="S76" i="131"/>
  <c r="T70" i="131"/>
  <c r="T59" i="131"/>
  <c r="T58" i="131"/>
  <c r="L23" i="131"/>
  <c r="L31" i="131"/>
  <c r="S40" i="131"/>
  <c r="S74" i="131"/>
  <c r="O70" i="131"/>
  <c r="N87" i="131"/>
  <c r="N89" i="131"/>
  <c r="N102" i="131"/>
  <c r="V87" i="131"/>
  <c r="V89" i="131"/>
  <c r="N93" i="131"/>
  <c r="N95" i="131"/>
  <c r="N104" i="131"/>
  <c r="Q40" i="131"/>
  <c r="Q74" i="131"/>
  <c r="U71" i="131"/>
  <c r="X37" i="131"/>
  <c r="X73" i="131"/>
  <c r="N72" i="131"/>
  <c r="S93" i="131"/>
  <c r="S95" i="131"/>
  <c r="S104" i="131"/>
  <c r="R87" i="131"/>
  <c r="R89" i="131"/>
  <c r="R102" i="131"/>
  <c r="R97" i="131"/>
  <c r="J90" i="131"/>
  <c r="X40" i="131"/>
  <c r="X74" i="131"/>
  <c r="S44" i="131"/>
  <c r="S43" i="131"/>
  <c r="S92" i="131"/>
  <c r="S103" i="131"/>
  <c r="Q90" i="131"/>
  <c r="Q92" i="131"/>
  <c r="Q103" i="131"/>
  <c r="I41" i="131"/>
  <c r="G41" i="131"/>
  <c r="V41" i="131"/>
  <c r="Q93" i="131"/>
  <c r="Q95" i="131"/>
  <c r="Q104" i="131"/>
  <c r="Q71" i="131"/>
  <c r="Q44" i="131"/>
  <c r="Q43" i="131"/>
  <c r="P76" i="131"/>
  <c r="P22" i="131"/>
  <c r="P21" i="131"/>
  <c r="V71" i="131"/>
  <c r="V44" i="131"/>
  <c r="W71" i="131"/>
  <c r="L50" i="131"/>
  <c r="L54" i="131"/>
  <c r="N70" i="131"/>
  <c r="N59" i="131"/>
  <c r="V70" i="131"/>
  <c r="V59" i="131"/>
  <c r="V58" i="131"/>
  <c r="P44" i="131"/>
  <c r="L77" i="131"/>
  <c r="N71" i="131"/>
  <c r="N44" i="131"/>
  <c r="U87" i="131"/>
  <c r="U89" i="131"/>
  <c r="M87" i="131"/>
  <c r="T87" i="131"/>
  <c r="T89" i="131"/>
  <c r="I87" i="131"/>
  <c r="W22" i="131"/>
  <c r="W21" i="131"/>
  <c r="Q76" i="131"/>
  <c r="L26" i="131"/>
  <c r="L35" i="131"/>
  <c r="M37" i="131"/>
  <c r="T44" i="131"/>
  <c r="Q87" i="131"/>
  <c r="Q89" i="131"/>
  <c r="L45" i="131"/>
  <c r="M47" i="131"/>
  <c r="M74" i="131"/>
  <c r="X44" i="131"/>
  <c r="R71" i="131"/>
  <c r="R44" i="131"/>
  <c r="O71" i="131"/>
  <c r="L48" i="131"/>
  <c r="U59" i="131"/>
  <c r="U58" i="131"/>
  <c r="R59" i="131"/>
  <c r="R58" i="131"/>
  <c r="R70" i="131"/>
  <c r="O87" i="131"/>
  <c r="O89" i="131"/>
  <c r="W87" i="131"/>
  <c r="W89" i="131"/>
  <c r="L60" i="131"/>
  <c r="M62" i="131"/>
  <c r="U44" i="131"/>
  <c r="V102" i="131"/>
  <c r="L38" i="131"/>
  <c r="T40" i="131"/>
  <c r="J38" i="131"/>
  <c r="L56" i="131"/>
  <c r="S59" i="131"/>
  <c r="S58" i="131"/>
  <c r="S70" i="131"/>
  <c r="Q59" i="131"/>
  <c r="Q58" i="131"/>
  <c r="Q70" i="131"/>
  <c r="X70" i="131"/>
  <c r="P87" i="131"/>
  <c r="P89" i="131"/>
  <c r="P93" i="131"/>
  <c r="P95" i="131"/>
  <c r="P104" i="131"/>
  <c r="P90" i="131"/>
  <c r="P92" i="131"/>
  <c r="P103" i="131"/>
  <c r="X87" i="131"/>
  <c r="X89" i="131"/>
  <c r="X93" i="131"/>
  <c r="X95" i="131"/>
  <c r="X104" i="131"/>
  <c r="X90" i="131"/>
  <c r="X92" i="131"/>
  <c r="X103" i="131"/>
  <c r="R22" i="131"/>
  <c r="R21" i="131"/>
  <c r="L25" i="131"/>
  <c r="M76" i="131"/>
  <c r="U76" i="131"/>
  <c r="U64" i="131"/>
  <c r="U22" i="131"/>
  <c r="X28" i="131"/>
  <c r="X69" i="131"/>
  <c r="L69" i="131"/>
  <c r="L29" i="131"/>
  <c r="L32" i="131"/>
  <c r="M34" i="131"/>
  <c r="S71" i="131"/>
  <c r="M90" i="131"/>
  <c r="U90" i="131"/>
  <c r="U92" i="131"/>
  <c r="U103" i="131"/>
  <c r="T93" i="131"/>
  <c r="T95" i="131"/>
  <c r="T104" i="131"/>
  <c r="V22" i="131"/>
  <c r="O44" i="131"/>
  <c r="W44" i="131"/>
  <c r="M53" i="131"/>
  <c r="S87" i="131"/>
  <c r="S89" i="131"/>
  <c r="N90" i="131"/>
  <c r="N92" i="131"/>
  <c r="N103" i="131"/>
  <c r="V90" i="131"/>
  <c r="V92" i="131"/>
  <c r="V103" i="131"/>
  <c r="O90" i="131"/>
  <c r="O92" i="131"/>
  <c r="O103" i="131"/>
  <c r="W90" i="131"/>
  <c r="W92" i="131"/>
  <c r="W103" i="131"/>
  <c r="L84" i="131"/>
  <c r="O93" i="131"/>
  <c r="O95" i="131"/>
  <c r="O104" i="131"/>
  <c r="W93" i="131"/>
  <c r="W95" i="131"/>
  <c r="W104" i="131"/>
  <c r="M22" i="131"/>
  <c r="N41" i="131"/>
  <c r="W64" i="131"/>
  <c r="T41" i="131"/>
  <c r="O64" i="131"/>
  <c r="L72" i="131"/>
  <c r="Q64" i="131"/>
  <c r="R86" i="131"/>
  <c r="R85" i="131"/>
  <c r="R79" i="131"/>
  <c r="P41" i="131"/>
  <c r="S41" i="131"/>
  <c r="V86" i="131"/>
  <c r="V79" i="131"/>
  <c r="V64" i="131"/>
  <c r="O22" i="131"/>
  <c r="O21" i="131"/>
  <c r="O15" i="131"/>
  <c r="V97" i="131"/>
  <c r="L40" i="131"/>
  <c r="S64" i="131"/>
  <c r="W41" i="131"/>
  <c r="R64" i="131"/>
  <c r="X41" i="131"/>
  <c r="Q41" i="131"/>
  <c r="O41" i="131"/>
  <c r="M41" i="131"/>
  <c r="S22" i="131"/>
  <c r="S21" i="131"/>
  <c r="S15" i="131"/>
  <c r="P64" i="131"/>
  <c r="R41" i="131"/>
  <c r="R15" i="131"/>
  <c r="U41" i="131"/>
  <c r="U15" i="131"/>
  <c r="N22" i="131"/>
  <c r="N21" i="131"/>
  <c r="N15" i="131"/>
  <c r="L76" i="131"/>
  <c r="Q22" i="131"/>
  <c r="Q21" i="131"/>
  <c r="X86" i="131"/>
  <c r="X85" i="131"/>
  <c r="X79" i="131"/>
  <c r="X102" i="131"/>
  <c r="X97" i="131"/>
  <c r="W86" i="131"/>
  <c r="W85" i="131"/>
  <c r="W79" i="131"/>
  <c r="W102" i="131"/>
  <c r="W97" i="131"/>
  <c r="W15" i="131"/>
  <c r="M75" i="131"/>
  <c r="L75" i="131"/>
  <c r="L34" i="131"/>
  <c r="O86" i="131"/>
  <c r="O85" i="131"/>
  <c r="O79" i="131"/>
  <c r="O102" i="131"/>
  <c r="O97" i="131"/>
  <c r="Q102" i="131"/>
  <c r="Q97" i="131"/>
  <c r="Q86" i="131"/>
  <c r="Q85" i="131"/>
  <c r="Q79" i="131"/>
  <c r="V15" i="131"/>
  <c r="N97" i="131"/>
  <c r="L93" i="131"/>
  <c r="M73" i="131"/>
  <c r="L73" i="131"/>
  <c r="L37" i="131"/>
  <c r="T86" i="131"/>
  <c r="T85" i="131"/>
  <c r="T79" i="131"/>
  <c r="T102" i="131"/>
  <c r="T97" i="131"/>
  <c r="N86" i="131"/>
  <c r="N85" i="131"/>
  <c r="N79" i="131"/>
  <c r="M104" i="131"/>
  <c r="L104" i="131"/>
  <c r="L95" i="131"/>
  <c r="L87" i="131"/>
  <c r="M89" i="131"/>
  <c r="M21" i="131"/>
  <c r="X64" i="131"/>
  <c r="P86" i="131"/>
  <c r="P85" i="131"/>
  <c r="P79" i="131"/>
  <c r="P102" i="131"/>
  <c r="P97" i="131"/>
  <c r="L28" i="131"/>
  <c r="U86" i="131"/>
  <c r="U79" i="131"/>
  <c r="U102" i="131"/>
  <c r="U97" i="131"/>
  <c r="M71" i="131"/>
  <c r="L71" i="131"/>
  <c r="L47" i="131"/>
  <c r="M44" i="131"/>
  <c r="S86" i="131"/>
  <c r="S85" i="131"/>
  <c r="S79" i="131"/>
  <c r="S102" i="131"/>
  <c r="S97" i="131"/>
  <c r="M92" i="131"/>
  <c r="L90" i="131"/>
  <c r="T74" i="131"/>
  <c r="T64" i="131"/>
  <c r="T22" i="131"/>
  <c r="T21" i="131"/>
  <c r="T15" i="131"/>
  <c r="M70" i="131"/>
  <c r="L62" i="131"/>
  <c r="M59" i="131"/>
  <c r="M52" i="131"/>
  <c r="J51" i="131"/>
  <c r="L53" i="131"/>
  <c r="X22" i="131"/>
  <c r="X21" i="131"/>
  <c r="P15" i="131"/>
  <c r="L41" i="131"/>
  <c r="Q15" i="131"/>
  <c r="X15" i="131"/>
  <c r="M58" i="131"/>
  <c r="J57" i="131"/>
  <c r="L59" i="131"/>
  <c r="L70" i="131"/>
  <c r="M64" i="131"/>
  <c r="L74" i="131"/>
  <c r="J20" i="131"/>
  <c r="M103" i="131"/>
  <c r="L103" i="131"/>
  <c r="L92" i="131"/>
  <c r="M86" i="131"/>
  <c r="M102" i="131"/>
  <c r="L89" i="131"/>
  <c r="M43" i="131"/>
  <c r="J42" i="131"/>
  <c r="L44" i="131"/>
  <c r="L22" i="131"/>
  <c r="L15" i="131"/>
  <c r="L64" i="131"/>
  <c r="M15" i="131"/>
  <c r="L102" i="131"/>
  <c r="L97" i="131"/>
  <c r="M97" i="131"/>
  <c r="L86" i="131"/>
  <c r="L79" i="131"/>
  <c r="M85" i="131"/>
  <c r="J84" i="131"/>
  <c r="M79" i="131"/>
  <c r="K5" i="116"/>
  <c r="P9" i="79"/>
  <c r="O9" i="79"/>
  <c r="O8" i="79" s="1"/>
  <c r="N7" i="79" s="1"/>
  <c r="N9" i="79"/>
  <c r="M9" i="79"/>
  <c r="D106" i="129"/>
  <c r="P225" i="129"/>
  <c r="O225" i="129"/>
  <c r="N225" i="129"/>
  <c r="M225" i="129"/>
  <c r="L225" i="129"/>
  <c r="K225" i="129"/>
  <c r="J225" i="129"/>
  <c r="I225" i="129"/>
  <c r="H225" i="129"/>
  <c r="G225" i="129"/>
  <c r="F225" i="129"/>
  <c r="E225" i="129"/>
  <c r="P163" i="129"/>
  <c r="O163" i="129"/>
  <c r="N163" i="129"/>
  <c r="M163" i="129"/>
  <c r="L163" i="129"/>
  <c r="K163" i="129"/>
  <c r="J163" i="129"/>
  <c r="I163" i="129"/>
  <c r="H163" i="129"/>
  <c r="G163" i="129"/>
  <c r="F163" i="129"/>
  <c r="E163" i="129"/>
  <c r="P94" i="129"/>
  <c r="O94" i="129"/>
  <c r="N94" i="129"/>
  <c r="M94" i="129"/>
  <c r="L94" i="129"/>
  <c r="K94" i="129"/>
  <c r="J94" i="129"/>
  <c r="I94" i="129"/>
  <c r="H94" i="129"/>
  <c r="G94" i="129"/>
  <c r="F94" i="129"/>
  <c r="E94" i="129"/>
  <c r="P50" i="129"/>
  <c r="O50" i="129"/>
  <c r="N50" i="129"/>
  <c r="M50" i="129"/>
  <c r="L50" i="129"/>
  <c r="K50" i="129"/>
  <c r="J50" i="129"/>
  <c r="I50" i="129"/>
  <c r="H50" i="129"/>
  <c r="G50" i="129"/>
  <c r="F50" i="129"/>
  <c r="D225" i="129"/>
  <c r="P224" i="129"/>
  <c r="O224" i="129"/>
  <c r="N224" i="129"/>
  <c r="M224" i="129"/>
  <c r="L224" i="129"/>
  <c r="K224" i="129"/>
  <c r="J224" i="129"/>
  <c r="I224" i="129"/>
  <c r="H224" i="129"/>
  <c r="G224" i="129"/>
  <c r="F224" i="129"/>
  <c r="E224" i="129"/>
  <c r="P223" i="129"/>
  <c r="O223" i="129"/>
  <c r="N223" i="129"/>
  <c r="M223" i="129"/>
  <c r="L223" i="129"/>
  <c r="K223" i="129"/>
  <c r="J223" i="129"/>
  <c r="I223" i="129"/>
  <c r="H223" i="129"/>
  <c r="G223" i="129"/>
  <c r="F223" i="129"/>
  <c r="D223" i="129"/>
  <c r="E223" i="129"/>
  <c r="D163" i="129"/>
  <c r="P162" i="129"/>
  <c r="O162" i="129"/>
  <c r="N162" i="129"/>
  <c r="M162" i="129"/>
  <c r="L162" i="129"/>
  <c r="K162" i="129"/>
  <c r="J162" i="129"/>
  <c r="I162" i="129"/>
  <c r="H162" i="129"/>
  <c r="G162" i="129"/>
  <c r="F162" i="129"/>
  <c r="E162" i="129"/>
  <c r="P161" i="129"/>
  <c r="O161" i="129"/>
  <c r="N161" i="129"/>
  <c r="M161" i="129"/>
  <c r="L161" i="129"/>
  <c r="K161" i="129"/>
  <c r="J161" i="129"/>
  <c r="I161" i="129"/>
  <c r="H161" i="129"/>
  <c r="G161" i="129"/>
  <c r="F161" i="129"/>
  <c r="E161" i="129"/>
  <c r="D94" i="129"/>
  <c r="P93" i="129"/>
  <c r="O93" i="129"/>
  <c r="N93" i="129"/>
  <c r="M93" i="129"/>
  <c r="L93" i="129"/>
  <c r="K93" i="129"/>
  <c r="J93" i="129"/>
  <c r="I93" i="129"/>
  <c r="H93" i="129"/>
  <c r="G93" i="129"/>
  <c r="F93" i="129"/>
  <c r="E93" i="129"/>
  <c r="P92" i="129"/>
  <c r="O92" i="129"/>
  <c r="N92" i="129"/>
  <c r="M92" i="129"/>
  <c r="L92" i="129"/>
  <c r="K92" i="129"/>
  <c r="J92" i="129"/>
  <c r="I92" i="129"/>
  <c r="H92" i="129"/>
  <c r="G92" i="129"/>
  <c r="F92" i="129"/>
  <c r="E92" i="129"/>
  <c r="E50" i="129"/>
  <c r="P49" i="129"/>
  <c r="O49" i="129"/>
  <c r="N49" i="129"/>
  <c r="M49" i="129"/>
  <c r="L49" i="129"/>
  <c r="K49" i="129"/>
  <c r="J49" i="129"/>
  <c r="I49" i="129"/>
  <c r="H49" i="129"/>
  <c r="G49" i="129"/>
  <c r="F49" i="129"/>
  <c r="E49" i="129"/>
  <c r="P48" i="129"/>
  <c r="O48" i="129"/>
  <c r="N48" i="129"/>
  <c r="M48" i="129"/>
  <c r="L48" i="129"/>
  <c r="K48" i="129"/>
  <c r="J48" i="129"/>
  <c r="I48" i="129"/>
  <c r="H48" i="129"/>
  <c r="G48" i="129"/>
  <c r="F48" i="129"/>
  <c r="E48" i="129"/>
  <c r="U54" i="120"/>
  <c r="U55" i="120"/>
  <c r="N58" i="120"/>
  <c r="M56" i="120"/>
  <c r="D92" i="129"/>
  <c r="D93" i="129"/>
  <c r="D224" i="129"/>
  <c r="D162" i="129"/>
  <c r="D161" i="129"/>
  <c r="P52" i="120"/>
  <c r="U46" i="120"/>
  <c r="U43" i="120"/>
  <c r="U42" i="120"/>
  <c r="N59" i="120"/>
  <c r="M57" i="120"/>
  <c r="N61" i="120"/>
  <c r="O61" i="120"/>
  <c r="N60" i="120"/>
  <c r="O60" i="120"/>
  <c r="M59" i="120"/>
  <c r="T59" i="120"/>
  <c r="M58" i="120"/>
  <c r="O58" i="120"/>
  <c r="T57" i="120"/>
  <c r="N56" i="120"/>
  <c r="I56" i="120"/>
  <c r="H56" i="120"/>
  <c r="G56" i="120"/>
  <c r="T56" i="120"/>
  <c r="M55" i="120"/>
  <c r="T55" i="120"/>
  <c r="M54" i="120"/>
  <c r="I54" i="120"/>
  <c r="T54" i="120"/>
  <c r="T53" i="120"/>
  <c r="M53" i="120"/>
  <c r="O53" i="120"/>
  <c r="I53" i="120"/>
  <c r="T52" i="120"/>
  <c r="T58" i="120"/>
  <c r="M52" i="120"/>
  <c r="O52" i="120"/>
  <c r="Q51" i="120"/>
  <c r="R56" i="120"/>
  <c r="H51" i="120"/>
  <c r="O59" i="120"/>
  <c r="I55" i="120"/>
  <c r="H55" i="120"/>
  <c r="G55" i="120"/>
  <c r="O56" i="120"/>
  <c r="R53" i="120"/>
  <c r="O54" i="120"/>
  <c r="H52" i="120"/>
  <c r="G52" i="120"/>
  <c r="I52" i="120"/>
  <c r="H53" i="120"/>
  <c r="G53" i="120"/>
  <c r="R55" i="120"/>
  <c r="O55" i="120"/>
  <c r="R54" i="120"/>
  <c r="R57" i="120"/>
  <c r="R52" i="120"/>
  <c r="R59" i="120"/>
  <c r="O57" i="120"/>
  <c r="H54" i="120"/>
  <c r="G54" i="120"/>
  <c r="D227" i="129"/>
  <c r="D222" i="129"/>
  <c r="D221" i="129"/>
  <c r="D220" i="129"/>
  <c r="D216" i="129"/>
  <c r="D215" i="129"/>
  <c r="D214" i="129"/>
  <c r="D213" i="129"/>
  <c r="D212" i="129"/>
  <c r="D211" i="129"/>
  <c r="D210" i="129"/>
  <c r="D209" i="129"/>
  <c r="D208" i="129"/>
  <c r="D197" i="129"/>
  <c r="D196" i="129"/>
  <c r="D195" i="129"/>
  <c r="D194" i="129"/>
  <c r="D193" i="129"/>
  <c r="D192" i="129"/>
  <c r="D13" i="136"/>
  <c r="D12" i="136"/>
  <c r="D188" i="129"/>
  <c r="D14" i="136"/>
  <c r="P186" i="129"/>
  <c r="O186" i="129"/>
  <c r="O184" i="129"/>
  <c r="P181" i="129"/>
  <c r="O178" i="129"/>
  <c r="O232" i="129" s="1"/>
  <c r="N178" i="129"/>
  <c r="N233" i="129" s="1"/>
  <c r="M178" i="129"/>
  <c r="M232" i="129" s="1"/>
  <c r="L178" i="129"/>
  <c r="L234" i="129" s="1"/>
  <c r="L232" i="129"/>
  <c r="K178" i="129"/>
  <c r="K232" i="129" s="1"/>
  <c r="J178" i="129"/>
  <c r="J232" i="129"/>
  <c r="I178" i="129"/>
  <c r="I232" i="129" s="1"/>
  <c r="H178" i="129"/>
  <c r="H232" i="129"/>
  <c r="G178" i="129"/>
  <c r="G232" i="129" s="1"/>
  <c r="F178" i="129"/>
  <c r="F233" i="129" s="1"/>
  <c r="E178" i="129"/>
  <c r="E232" i="129"/>
  <c r="D165" i="129"/>
  <c r="P160" i="129"/>
  <c r="M160" i="129"/>
  <c r="L160" i="129"/>
  <c r="D159" i="129"/>
  <c r="D158" i="129"/>
  <c r="D154" i="129"/>
  <c r="D153" i="129"/>
  <c r="D152" i="129"/>
  <c r="J151" i="129"/>
  <c r="P148" i="129"/>
  <c r="O148" i="129"/>
  <c r="N148" i="129"/>
  <c r="M148" i="129"/>
  <c r="L148" i="129"/>
  <c r="K148" i="129"/>
  <c r="J148" i="129"/>
  <c r="I148" i="129"/>
  <c r="H148" i="129"/>
  <c r="G148" i="129"/>
  <c r="F148" i="129"/>
  <c r="E148" i="129"/>
  <c r="P147" i="129"/>
  <c r="O147" i="129"/>
  <c r="N147" i="129"/>
  <c r="M147" i="129"/>
  <c r="L147" i="129"/>
  <c r="K147" i="129"/>
  <c r="J147" i="129"/>
  <c r="I147" i="129"/>
  <c r="H147" i="129"/>
  <c r="G147" i="129"/>
  <c r="F147" i="129"/>
  <c r="E147" i="129"/>
  <c r="O146" i="129"/>
  <c r="N146" i="129"/>
  <c r="M146" i="129"/>
  <c r="L146" i="129"/>
  <c r="K146" i="129"/>
  <c r="J146" i="129"/>
  <c r="I146" i="129"/>
  <c r="H146" i="129"/>
  <c r="G146" i="129"/>
  <c r="F146" i="129"/>
  <c r="E146" i="129"/>
  <c r="O145" i="129"/>
  <c r="N145" i="129"/>
  <c r="M145" i="129"/>
  <c r="L145" i="129"/>
  <c r="K145" i="129"/>
  <c r="J145" i="129"/>
  <c r="I145" i="129"/>
  <c r="H145" i="129"/>
  <c r="G145" i="129"/>
  <c r="F145" i="129"/>
  <c r="E145" i="129"/>
  <c r="P144" i="129"/>
  <c r="O144" i="129"/>
  <c r="N144" i="129"/>
  <c r="M144" i="129"/>
  <c r="L144" i="129"/>
  <c r="K144" i="129"/>
  <c r="J144" i="129"/>
  <c r="I144" i="129"/>
  <c r="H144" i="129"/>
  <c r="G144" i="129"/>
  <c r="F144" i="129"/>
  <c r="E144" i="129"/>
  <c r="P143" i="129"/>
  <c r="O143" i="129"/>
  <c r="N143" i="129"/>
  <c r="M143" i="129"/>
  <c r="L143" i="129"/>
  <c r="K143" i="129"/>
  <c r="J143" i="129"/>
  <c r="I143" i="129"/>
  <c r="H143" i="129"/>
  <c r="G143" i="129"/>
  <c r="F143" i="129"/>
  <c r="E143" i="129"/>
  <c r="P142" i="129"/>
  <c r="O142" i="129"/>
  <c r="N142" i="129"/>
  <c r="M142" i="129"/>
  <c r="L142" i="129"/>
  <c r="K142" i="129"/>
  <c r="J142" i="129"/>
  <c r="I142" i="129"/>
  <c r="G142" i="129"/>
  <c r="P141" i="129"/>
  <c r="O141" i="129"/>
  <c r="N141" i="129"/>
  <c r="M141" i="129"/>
  <c r="L141" i="129"/>
  <c r="K141" i="129"/>
  <c r="J141" i="129"/>
  <c r="I141" i="129"/>
  <c r="H141" i="129"/>
  <c r="G141" i="129"/>
  <c r="F141" i="129"/>
  <c r="E141" i="129"/>
  <c r="P140" i="129"/>
  <c r="O140" i="129"/>
  <c r="N140" i="129"/>
  <c r="N138" i="129" s="1"/>
  <c r="N155" i="129" s="1"/>
  <c r="M140" i="129"/>
  <c r="L140" i="129"/>
  <c r="K140" i="129"/>
  <c r="J140" i="129"/>
  <c r="I140" i="129"/>
  <c r="G140" i="129"/>
  <c r="P139" i="129"/>
  <c r="O139" i="129"/>
  <c r="O138" i="129" s="1"/>
  <c r="N139" i="129"/>
  <c r="M139" i="129"/>
  <c r="L139" i="129"/>
  <c r="L138" i="129" s="1"/>
  <c r="L155" i="129" s="1"/>
  <c r="K139" i="129"/>
  <c r="K138" i="129" s="1"/>
  <c r="K155" i="129" s="1"/>
  <c r="J139" i="129"/>
  <c r="J138" i="129" s="1"/>
  <c r="I139" i="129"/>
  <c r="H139" i="129"/>
  <c r="G139" i="129"/>
  <c r="F139" i="129"/>
  <c r="E139" i="129"/>
  <c r="D137" i="129"/>
  <c r="D136" i="129"/>
  <c r="D135" i="129"/>
  <c r="D134" i="129"/>
  <c r="D133" i="129"/>
  <c r="D132" i="129"/>
  <c r="D131" i="129"/>
  <c r="D130" i="129"/>
  <c r="D129" i="129"/>
  <c r="D128" i="129"/>
  <c r="D127" i="129"/>
  <c r="Q124" i="129" s="1"/>
  <c r="D126" i="129"/>
  <c r="D125" i="129"/>
  <c r="D124" i="129"/>
  <c r="D123" i="129"/>
  <c r="D122" i="129"/>
  <c r="H121" i="129"/>
  <c r="F121" i="129"/>
  <c r="E121" i="129"/>
  <c r="E119" i="129"/>
  <c r="D120" i="129"/>
  <c r="O119" i="129"/>
  <c r="N119" i="129"/>
  <c r="M119" i="129"/>
  <c r="L119" i="129"/>
  <c r="K119" i="129"/>
  <c r="J119" i="129"/>
  <c r="I119" i="129"/>
  <c r="G119" i="129"/>
  <c r="D118" i="129"/>
  <c r="D117" i="129"/>
  <c r="D116" i="129"/>
  <c r="D115" i="129"/>
  <c r="P114" i="129"/>
  <c r="O114" i="129"/>
  <c r="O171" i="129" s="1"/>
  <c r="N114" i="129"/>
  <c r="N171" i="129" s="1"/>
  <c r="M114" i="129"/>
  <c r="L114" i="129"/>
  <c r="L170" i="129" s="1"/>
  <c r="K114" i="129"/>
  <c r="J114" i="129"/>
  <c r="I114" i="129"/>
  <c r="I172" i="129" s="1"/>
  <c r="H114" i="129"/>
  <c r="H3" i="129" s="1"/>
  <c r="G114" i="129"/>
  <c r="G170" i="129" s="1"/>
  <c r="F114" i="129"/>
  <c r="F171" i="129" s="1"/>
  <c r="E114" i="129"/>
  <c r="D112" i="129"/>
  <c r="D110" i="129"/>
  <c r="D108" i="129"/>
  <c r="D96" i="129"/>
  <c r="O103" i="129"/>
  <c r="N103" i="129"/>
  <c r="L103" i="129"/>
  <c r="K103" i="129"/>
  <c r="J103" i="129"/>
  <c r="H103" i="129"/>
  <c r="G103" i="129"/>
  <c r="G100" i="129" s="1"/>
  <c r="G104" i="129" s="1"/>
  <c r="F103" i="129"/>
  <c r="E103" i="129"/>
  <c r="G102" i="129"/>
  <c r="D91" i="129"/>
  <c r="D90" i="129"/>
  <c r="D89" i="129"/>
  <c r="D88" i="129"/>
  <c r="D87" i="129"/>
  <c r="D83" i="129"/>
  <c r="D82" i="129"/>
  <c r="D81" i="129"/>
  <c r="D80" i="129"/>
  <c r="P79" i="129"/>
  <c r="O79" i="129"/>
  <c r="O101" i="129"/>
  <c r="L79" i="129"/>
  <c r="L101" i="129"/>
  <c r="K79" i="129"/>
  <c r="D78" i="129"/>
  <c r="D77" i="129"/>
  <c r="D76" i="129"/>
  <c r="D75" i="129"/>
  <c r="N101" i="129"/>
  <c r="M101" i="129"/>
  <c r="I101" i="129"/>
  <c r="H101" i="129"/>
  <c r="G101" i="129"/>
  <c r="F101" i="129"/>
  <c r="E101" i="129"/>
  <c r="D70" i="129"/>
  <c r="D68" i="129"/>
  <c r="P67" i="129"/>
  <c r="O67" i="129"/>
  <c r="M67" i="129"/>
  <c r="K67" i="129"/>
  <c r="G67" i="129"/>
  <c r="N65" i="129"/>
  <c r="L65" i="129"/>
  <c r="J65" i="129"/>
  <c r="I65" i="129"/>
  <c r="H65" i="129"/>
  <c r="F65" i="129"/>
  <c r="P63" i="129"/>
  <c r="O63" i="129"/>
  <c r="N63" i="129"/>
  <c r="M63" i="129"/>
  <c r="L63" i="129"/>
  <c r="K63" i="129"/>
  <c r="J63" i="129"/>
  <c r="I63" i="129"/>
  <c r="H63" i="129"/>
  <c r="G63" i="129"/>
  <c r="F63" i="129"/>
  <c r="E63" i="129"/>
  <c r="E3" i="129" s="1"/>
  <c r="D52" i="129"/>
  <c r="N59" i="129"/>
  <c r="M59" i="129"/>
  <c r="L59" i="129"/>
  <c r="K59" i="129"/>
  <c r="J59" i="129"/>
  <c r="F59" i="129"/>
  <c r="E59" i="129"/>
  <c r="D47" i="129"/>
  <c r="D46" i="129"/>
  <c r="D45" i="129"/>
  <c r="D41" i="129"/>
  <c r="D40" i="129"/>
  <c r="D39" i="129"/>
  <c r="D38" i="129"/>
  <c r="D37" i="129"/>
  <c r="O36" i="129"/>
  <c r="L36" i="129"/>
  <c r="L57" i="129"/>
  <c r="L61" i="129" s="1"/>
  <c r="K36" i="129"/>
  <c r="K57" i="129"/>
  <c r="D35" i="129"/>
  <c r="D34" i="129"/>
  <c r="D33" i="129"/>
  <c r="D32" i="129"/>
  <c r="O57" i="129"/>
  <c r="N57" i="129"/>
  <c r="J57" i="129"/>
  <c r="G57" i="129"/>
  <c r="G61" i="129" s="1"/>
  <c r="F57" i="129"/>
  <c r="F61" i="129" s="1"/>
  <c r="D26" i="129"/>
  <c r="D25" i="129"/>
  <c r="D24" i="129"/>
  <c r="D23" i="129"/>
  <c r="D22" i="129"/>
  <c r="P19" i="129"/>
  <c r="O19" i="129"/>
  <c r="O4" i="129" s="1"/>
  <c r="M19" i="129"/>
  <c r="M4" i="129" s="1"/>
  <c r="L19" i="129"/>
  <c r="J19" i="129"/>
  <c r="H19" i="129"/>
  <c r="G19" i="129"/>
  <c r="F19" i="129"/>
  <c r="E19" i="129"/>
  <c r="E18" i="129"/>
  <c r="E16" i="129"/>
  <c r="P16" i="129"/>
  <c r="O16" i="129"/>
  <c r="N16" i="129"/>
  <c r="M16" i="129"/>
  <c r="L16" i="129"/>
  <c r="K16" i="129"/>
  <c r="K3" i="129" s="1"/>
  <c r="J16" i="129"/>
  <c r="I16" i="129"/>
  <c r="H16" i="129"/>
  <c r="G16" i="129"/>
  <c r="F16" i="129"/>
  <c r="P184" i="129"/>
  <c r="E57" i="129"/>
  <c r="E61" i="129" s="1"/>
  <c r="K234" i="129"/>
  <c r="J234" i="129"/>
  <c r="E234" i="129"/>
  <c r="O234" i="129"/>
  <c r="O231" i="129" s="1"/>
  <c r="H170" i="129"/>
  <c r="P170" i="129"/>
  <c r="J172" i="129"/>
  <c r="J170" i="129"/>
  <c r="K170" i="129"/>
  <c r="E172" i="129"/>
  <c r="E170" i="129"/>
  <c r="M170" i="129"/>
  <c r="M172" i="129"/>
  <c r="P51" i="120"/>
  <c r="R58" i="120"/>
  <c r="I102" i="129"/>
  <c r="J171" i="129"/>
  <c r="H119" i="129"/>
  <c r="G65" i="129"/>
  <c r="K102" i="129"/>
  <c r="O102" i="129"/>
  <c r="O100" i="129" s="1"/>
  <c r="O104" i="129" s="1"/>
  <c r="O105" i="129" s="1"/>
  <c r="D160" i="129"/>
  <c r="M65" i="129"/>
  <c r="D151" i="129"/>
  <c r="L102" i="129"/>
  <c r="O233" i="129"/>
  <c r="P102" i="129"/>
  <c r="J102" i="129"/>
  <c r="E171" i="129"/>
  <c r="D36" i="129"/>
  <c r="D121" i="129"/>
  <c r="E140" i="129"/>
  <c r="E138" i="129" s="1"/>
  <c r="E155" i="129" s="1"/>
  <c r="K171" i="129"/>
  <c r="D48" i="129"/>
  <c r="D50" i="129"/>
  <c r="M102" i="129"/>
  <c r="F102" i="129"/>
  <c r="F100" i="129" s="1"/>
  <c r="F104" i="129" s="1"/>
  <c r="P178" i="129"/>
  <c r="P233" i="129" s="1"/>
  <c r="D49" i="129"/>
  <c r="P138" i="129"/>
  <c r="M138" i="129"/>
  <c r="M155" i="129"/>
  <c r="M156" i="129" s="1"/>
  <c r="D205" i="129"/>
  <c r="K61" i="129"/>
  <c r="N61" i="129"/>
  <c r="O61" i="129"/>
  <c r="D79" i="129"/>
  <c r="O65" i="129"/>
  <c r="J61" i="129"/>
  <c r="F142" i="129"/>
  <c r="F140" i="129"/>
  <c r="F119" i="129"/>
  <c r="H102" i="129"/>
  <c r="E102" i="129"/>
  <c r="K65" i="129"/>
  <c r="E233" i="129"/>
  <c r="P65" i="129"/>
  <c r="E142" i="129"/>
  <c r="H140" i="129"/>
  <c r="H138" i="129" s="1"/>
  <c r="H155" i="129" s="1"/>
  <c r="H142" i="129"/>
  <c r="J10" i="128"/>
  <c r="J8" i="128"/>
  <c r="H10" i="128"/>
  <c r="H9" i="128"/>
  <c r="G10" i="128"/>
  <c r="G9" i="128"/>
  <c r="F10" i="128"/>
  <c r="F9" i="128"/>
  <c r="E10" i="128"/>
  <c r="D10" i="128"/>
  <c r="D9" i="128"/>
  <c r="H7" i="128"/>
  <c r="G7" i="128"/>
  <c r="G8" i="128"/>
  <c r="F7" i="128"/>
  <c r="F8" i="128"/>
  <c r="E7" i="128"/>
  <c r="E8" i="128"/>
  <c r="E9" i="128"/>
  <c r="D7" i="128"/>
  <c r="D8" i="128"/>
  <c r="H8" i="128"/>
  <c r="H3" i="128"/>
  <c r="G3" i="128"/>
  <c r="F3" i="128"/>
  <c r="E3" i="128"/>
  <c r="D3" i="128"/>
  <c r="C2" i="128"/>
  <c r="D16" i="136"/>
  <c r="M233" i="129"/>
  <c r="H233" i="129"/>
  <c r="K233" i="129"/>
  <c r="J169" i="129"/>
  <c r="J174" i="129" s="1"/>
  <c r="P171" i="129"/>
  <c r="P53" i="120"/>
  <c r="P54" i="120"/>
  <c r="P55" i="120"/>
  <c r="U51" i="120"/>
  <c r="I58" i="129"/>
  <c r="P58" i="129"/>
  <c r="F58" i="129"/>
  <c r="O58" i="129"/>
  <c r="O56" i="129" s="1"/>
  <c r="O60" i="129" s="1"/>
  <c r="H58" i="129"/>
  <c r="K101" i="129"/>
  <c r="N58" i="129"/>
  <c r="N56" i="129" s="1"/>
  <c r="N60" i="129" s="1"/>
  <c r="G58" i="129"/>
  <c r="G56" i="129" s="1"/>
  <c r="G60" i="129" s="1"/>
  <c r="K58" i="129"/>
  <c r="K56" i="129" s="1"/>
  <c r="K60" i="129" s="1"/>
  <c r="J58" i="129"/>
  <c r="J56" i="129" s="1"/>
  <c r="J60" i="129" s="1"/>
  <c r="N97" i="129"/>
  <c r="N98" i="129" s="1"/>
  <c r="O107" i="129"/>
  <c r="J9" i="128"/>
  <c r="K9" i="128"/>
  <c r="C3" i="128"/>
  <c r="J175" i="129"/>
  <c r="J173" i="129"/>
  <c r="H22" i="128"/>
  <c r="G22" i="128"/>
  <c r="F22" i="128"/>
  <c r="E22" i="128"/>
  <c r="D22" i="128"/>
  <c r="H15" i="128"/>
  <c r="G15" i="128"/>
  <c r="F15" i="128"/>
  <c r="E15" i="128"/>
  <c r="D15" i="128"/>
  <c r="J22" i="128"/>
  <c r="H19" i="128"/>
  <c r="H20" i="128"/>
  <c r="H21" i="128"/>
  <c r="G19" i="128"/>
  <c r="G20" i="128"/>
  <c r="G21" i="128"/>
  <c r="F19" i="128"/>
  <c r="F20" i="128"/>
  <c r="E19" i="128"/>
  <c r="E20" i="128"/>
  <c r="E21" i="128"/>
  <c r="D19" i="128"/>
  <c r="D20" i="128"/>
  <c r="C14" i="128"/>
  <c r="C15" i="128"/>
  <c r="I105" i="125"/>
  <c r="I102" i="125"/>
  <c r="I99" i="125"/>
  <c r="X103" i="125"/>
  <c r="W103" i="125"/>
  <c r="V103" i="125"/>
  <c r="U103" i="125"/>
  <c r="T103" i="125"/>
  <c r="S103" i="125"/>
  <c r="R103" i="125"/>
  <c r="Q103" i="125"/>
  <c r="P103" i="125"/>
  <c r="O103" i="125"/>
  <c r="N103" i="125"/>
  <c r="M103" i="125"/>
  <c r="X96" i="125"/>
  <c r="W96" i="125"/>
  <c r="W99" i="125"/>
  <c r="V96" i="125"/>
  <c r="U96" i="125"/>
  <c r="T96" i="125"/>
  <c r="S96" i="125"/>
  <c r="R96" i="125"/>
  <c r="Q96" i="125"/>
  <c r="P96" i="125"/>
  <c r="O96" i="125"/>
  <c r="N96" i="125"/>
  <c r="M96" i="125"/>
  <c r="M35" i="125"/>
  <c r="X106" i="125"/>
  <c r="W106" i="125"/>
  <c r="V106" i="125"/>
  <c r="U106" i="125"/>
  <c r="T106" i="125"/>
  <c r="S106" i="125"/>
  <c r="R106" i="125"/>
  <c r="Q106" i="125"/>
  <c r="P106" i="125"/>
  <c r="O106" i="125"/>
  <c r="N106" i="125"/>
  <c r="M106" i="125"/>
  <c r="G105" i="125"/>
  <c r="G102" i="125"/>
  <c r="J99" i="125"/>
  <c r="G99" i="125"/>
  <c r="J70" i="125"/>
  <c r="X70" i="125"/>
  <c r="X72" i="125"/>
  <c r="X69" i="125"/>
  <c r="W70" i="125"/>
  <c r="W72" i="125"/>
  <c r="W69" i="125"/>
  <c r="V70" i="125"/>
  <c r="V72" i="125"/>
  <c r="V69" i="125"/>
  <c r="V68" i="125"/>
  <c r="U70" i="125"/>
  <c r="U72" i="125"/>
  <c r="U69" i="125"/>
  <c r="U68" i="125"/>
  <c r="T70" i="125"/>
  <c r="T72" i="125"/>
  <c r="T69" i="125"/>
  <c r="S70" i="125"/>
  <c r="S72" i="125"/>
  <c r="S69" i="125"/>
  <c r="R70" i="125"/>
  <c r="R72" i="125"/>
  <c r="R69" i="125"/>
  <c r="Q70" i="125"/>
  <c r="Q72" i="125"/>
  <c r="Q69" i="125"/>
  <c r="P70" i="125"/>
  <c r="P72" i="125"/>
  <c r="P69" i="125"/>
  <c r="O70" i="125"/>
  <c r="O72" i="125"/>
  <c r="O69" i="125"/>
  <c r="N70" i="125"/>
  <c r="N72" i="125"/>
  <c r="N69" i="125"/>
  <c r="M70" i="125"/>
  <c r="M72" i="125"/>
  <c r="M69" i="125"/>
  <c r="I70" i="125"/>
  <c r="L67" i="125"/>
  <c r="S64" i="125"/>
  <c r="O64" i="125"/>
  <c r="M64" i="125"/>
  <c r="M105" i="125"/>
  <c r="J20" i="128"/>
  <c r="J21" i="128"/>
  <c r="K21" i="128"/>
  <c r="D21" i="128"/>
  <c r="U99" i="125"/>
  <c r="U101" i="125"/>
  <c r="U114" i="125"/>
  <c r="O105" i="125"/>
  <c r="O107" i="125"/>
  <c r="M99" i="125"/>
  <c r="M101" i="125"/>
  <c r="M114" i="125"/>
  <c r="U105" i="125"/>
  <c r="U107" i="125"/>
  <c r="U116" i="125"/>
  <c r="N99" i="125"/>
  <c r="N101" i="125"/>
  <c r="N114" i="125"/>
  <c r="V102" i="125"/>
  <c r="V104" i="125"/>
  <c r="V115" i="125"/>
  <c r="W102" i="125"/>
  <c r="W104" i="125"/>
  <c r="W115" i="125"/>
  <c r="P102" i="125"/>
  <c r="P104" i="125"/>
  <c r="P115" i="125"/>
  <c r="N105" i="125"/>
  <c r="N107" i="125"/>
  <c r="N116" i="125"/>
  <c r="J105" i="125"/>
  <c r="Q102" i="125"/>
  <c r="Q104" i="125"/>
  <c r="Q115" i="125"/>
  <c r="J102" i="125"/>
  <c r="R102" i="125"/>
  <c r="R104" i="125"/>
  <c r="R115" i="125"/>
  <c r="N102" i="125"/>
  <c r="N104" i="125"/>
  <c r="N115" i="125"/>
  <c r="O102" i="125"/>
  <c r="O104" i="125"/>
  <c r="O115" i="125"/>
  <c r="X102" i="125"/>
  <c r="X104" i="125"/>
  <c r="X115" i="125"/>
  <c r="S105" i="125"/>
  <c r="S107" i="125"/>
  <c r="S116" i="125"/>
  <c r="O99" i="125"/>
  <c r="O101" i="125"/>
  <c r="O114" i="125"/>
  <c r="V105" i="125"/>
  <c r="V107" i="125"/>
  <c r="V116" i="125"/>
  <c r="T105" i="125"/>
  <c r="T107" i="125"/>
  <c r="T116" i="125"/>
  <c r="W105" i="125"/>
  <c r="M102" i="125"/>
  <c r="U102" i="125"/>
  <c r="U104" i="125"/>
  <c r="U115" i="125"/>
  <c r="V99" i="125"/>
  <c r="V101" i="125"/>
  <c r="V114" i="125"/>
  <c r="P99" i="125"/>
  <c r="P101" i="125"/>
  <c r="P114" i="125"/>
  <c r="X99" i="125"/>
  <c r="X101" i="125"/>
  <c r="X114" i="125"/>
  <c r="T102" i="125"/>
  <c r="T104" i="125"/>
  <c r="T115" i="125"/>
  <c r="P105" i="125"/>
  <c r="X105" i="125"/>
  <c r="X107" i="125"/>
  <c r="X116" i="125"/>
  <c r="Q99" i="125"/>
  <c r="Q105" i="125"/>
  <c r="Q107" i="125"/>
  <c r="Q116" i="125"/>
  <c r="R99" i="125"/>
  <c r="R101" i="125"/>
  <c r="R114" i="125"/>
  <c r="R105" i="125"/>
  <c r="R107" i="125"/>
  <c r="R116" i="125"/>
  <c r="S102" i="125"/>
  <c r="S104" i="125"/>
  <c r="S115" i="125"/>
  <c r="S99" i="125"/>
  <c r="S101" i="125"/>
  <c r="S114" i="125"/>
  <c r="T99" i="125"/>
  <c r="T101" i="125"/>
  <c r="T114" i="125"/>
  <c r="W101" i="125"/>
  <c r="W114" i="125"/>
  <c r="M107" i="125"/>
  <c r="M116" i="125"/>
  <c r="W107" i="125"/>
  <c r="W116" i="125"/>
  <c r="V81" i="125"/>
  <c r="N81" i="125"/>
  <c r="W81" i="125"/>
  <c r="O81" i="125"/>
  <c r="P81" i="125"/>
  <c r="X81" i="125"/>
  <c r="Q81" i="125"/>
  <c r="R81" i="125"/>
  <c r="S81" i="125"/>
  <c r="T81" i="125"/>
  <c r="M81" i="125"/>
  <c r="U81" i="125"/>
  <c r="T68" i="125"/>
  <c r="W68" i="125"/>
  <c r="Q68" i="125"/>
  <c r="P68" i="125"/>
  <c r="X68" i="125"/>
  <c r="S68" i="125"/>
  <c r="L72" i="125"/>
  <c r="O68" i="125"/>
  <c r="R68" i="125"/>
  <c r="L70" i="125"/>
  <c r="X64" i="125"/>
  <c r="X66" i="125"/>
  <c r="X63" i="125"/>
  <c r="W64" i="125"/>
  <c r="W66" i="125"/>
  <c r="W63" i="125"/>
  <c r="V64" i="125"/>
  <c r="V66" i="125"/>
  <c r="V63" i="125"/>
  <c r="U64" i="125"/>
  <c r="U66" i="125"/>
  <c r="U63" i="125"/>
  <c r="T64" i="125"/>
  <c r="T66" i="125"/>
  <c r="T63" i="125"/>
  <c r="S66" i="125"/>
  <c r="R64" i="125"/>
  <c r="R66" i="125"/>
  <c r="R63" i="125"/>
  <c r="Q64" i="125"/>
  <c r="Q66" i="125"/>
  <c r="Q63" i="125"/>
  <c r="P64" i="125"/>
  <c r="O66" i="125"/>
  <c r="O63" i="125"/>
  <c r="O62" i="125"/>
  <c r="N64" i="125"/>
  <c r="M66" i="125"/>
  <c r="J64" i="125"/>
  <c r="I64" i="125"/>
  <c r="L61" i="125"/>
  <c r="S58" i="125"/>
  <c r="S55" i="125"/>
  <c r="Q58" i="125"/>
  <c r="Q55" i="125"/>
  <c r="Q57" i="125"/>
  <c r="M58" i="125"/>
  <c r="M55" i="125"/>
  <c r="M57" i="125"/>
  <c r="I58" i="125"/>
  <c r="I55" i="125"/>
  <c r="K32" i="127"/>
  <c r="D31" i="127"/>
  <c r="D33" i="127"/>
  <c r="D32" i="127"/>
  <c r="D25" i="127"/>
  <c r="D24" i="127"/>
  <c r="D23" i="127"/>
  <c r="D17" i="127"/>
  <c r="D16" i="127"/>
  <c r="D15" i="127"/>
  <c r="D9" i="127"/>
  <c r="D8" i="127"/>
  <c r="D7" i="127"/>
  <c r="F21" i="128"/>
  <c r="O98" i="125"/>
  <c r="O116" i="125"/>
  <c r="X98" i="125"/>
  <c r="V98" i="125"/>
  <c r="V91" i="125"/>
  <c r="R98" i="125"/>
  <c r="W98" i="125"/>
  <c r="T98" i="125"/>
  <c r="U98" i="125"/>
  <c r="U91" i="125"/>
  <c r="S98" i="125"/>
  <c r="N98" i="125"/>
  <c r="L102" i="125"/>
  <c r="M104" i="125"/>
  <c r="L99" i="125"/>
  <c r="Q101" i="125"/>
  <c r="Q114" i="125"/>
  <c r="P107" i="125"/>
  <c r="P116" i="125"/>
  <c r="L105" i="125"/>
  <c r="Q82" i="125"/>
  <c r="M82" i="125"/>
  <c r="L69" i="125"/>
  <c r="M68" i="125"/>
  <c r="J67" i="125"/>
  <c r="L64" i="125"/>
  <c r="M63" i="125"/>
  <c r="N66" i="125"/>
  <c r="N63" i="125"/>
  <c r="S63" i="125"/>
  <c r="S62" i="125"/>
  <c r="P66" i="125"/>
  <c r="P63" i="125"/>
  <c r="C138" i="128"/>
  <c r="K121" i="128"/>
  <c r="K120" i="128"/>
  <c r="K119" i="128"/>
  <c r="K118" i="128"/>
  <c r="K117" i="128"/>
  <c r="K116" i="128"/>
  <c r="K115" i="128"/>
  <c r="K114" i="128"/>
  <c r="K113" i="128"/>
  <c r="K112" i="128"/>
  <c r="I105" i="128"/>
  <c r="G105" i="128"/>
  <c r="C121" i="128"/>
  <c r="I104" i="128"/>
  <c r="G104" i="128"/>
  <c r="L104" i="128"/>
  <c r="I103" i="128"/>
  <c r="G103" i="128"/>
  <c r="K103" i="128"/>
  <c r="I102" i="128"/>
  <c r="G102" i="128"/>
  <c r="C118" i="128"/>
  <c r="I101" i="128"/>
  <c r="G101" i="128"/>
  <c r="C117" i="128"/>
  <c r="I100" i="128"/>
  <c r="G100" i="128"/>
  <c r="C116" i="128"/>
  <c r="I99" i="128"/>
  <c r="G99" i="128"/>
  <c r="C115" i="128"/>
  <c r="I98" i="128"/>
  <c r="G98" i="128"/>
  <c r="K98" i="128"/>
  <c r="I97" i="128"/>
  <c r="G97" i="128"/>
  <c r="C113" i="128"/>
  <c r="I96" i="128"/>
  <c r="G96" i="128"/>
  <c r="C88" i="128"/>
  <c r="L87" i="128"/>
  <c r="I65" i="128"/>
  <c r="G65" i="128"/>
  <c r="I64" i="128"/>
  <c r="C85" i="128"/>
  <c r="I63" i="128"/>
  <c r="G63" i="128"/>
  <c r="K63" i="128"/>
  <c r="I62" i="128"/>
  <c r="G62" i="128"/>
  <c r="C83" i="128"/>
  <c r="I61" i="128"/>
  <c r="G61" i="128"/>
  <c r="L61" i="128"/>
  <c r="I60" i="128"/>
  <c r="G60" i="128"/>
  <c r="K60" i="128"/>
  <c r="I59" i="128"/>
  <c r="G59" i="128"/>
  <c r="I58" i="128"/>
  <c r="G58" i="128"/>
  <c r="C79" i="128"/>
  <c r="R57" i="128"/>
  <c r="I57" i="128"/>
  <c r="G57" i="128"/>
  <c r="I56" i="128"/>
  <c r="G56" i="128"/>
  <c r="I55" i="128"/>
  <c r="G55" i="128"/>
  <c r="L55" i="128"/>
  <c r="I54" i="128"/>
  <c r="G54" i="128"/>
  <c r="C75" i="128"/>
  <c r="I53" i="128"/>
  <c r="G53" i="128"/>
  <c r="C74" i="128"/>
  <c r="I52" i="128"/>
  <c r="G52" i="128"/>
  <c r="K52" i="128"/>
  <c r="I51" i="128"/>
  <c r="G51" i="128"/>
  <c r="C72" i="128"/>
  <c r="F72" i="128"/>
  <c r="N72" i="128"/>
  <c r="I50" i="128"/>
  <c r="G50" i="128"/>
  <c r="C71" i="128"/>
  <c r="H46" i="128"/>
  <c r="S30" i="128"/>
  <c r="G43" i="128"/>
  <c r="S37" i="128"/>
  <c r="N37" i="128"/>
  <c r="M37" i="128"/>
  <c r="L37" i="128"/>
  <c r="F37" i="128"/>
  <c r="S36" i="128"/>
  <c r="S35" i="128"/>
  <c r="N33" i="128"/>
  <c r="F33" i="128"/>
  <c r="E32" i="128"/>
  <c r="D32" i="128"/>
  <c r="W31" i="128"/>
  <c r="W32" i="128"/>
  <c r="S31" i="128"/>
  <c r="N29" i="128"/>
  <c r="N34" i="128"/>
  <c r="M29" i="128"/>
  <c r="M34" i="128"/>
  <c r="L29" i="128"/>
  <c r="L34" i="128"/>
  <c r="T33" i="127"/>
  <c r="T32" i="127"/>
  <c r="T31" i="127"/>
  <c r="T25" i="127"/>
  <c r="T24" i="127"/>
  <c r="T23" i="127"/>
  <c r="E23" i="127"/>
  <c r="T17" i="127"/>
  <c r="T3" i="127"/>
  <c r="T16" i="127"/>
  <c r="T2" i="127"/>
  <c r="L16" i="127"/>
  <c r="D2" i="127"/>
  <c r="T15" i="127"/>
  <c r="L15" i="127"/>
  <c r="T9" i="127"/>
  <c r="T8" i="127"/>
  <c r="T7" i="127"/>
  <c r="T1" i="127"/>
  <c r="E7" i="127"/>
  <c r="V5" i="127"/>
  <c r="W5" i="127"/>
  <c r="F5" i="127"/>
  <c r="F4" i="127"/>
  <c r="V4" i="127"/>
  <c r="U4" i="127"/>
  <c r="E4" i="127"/>
  <c r="D3" i="127"/>
  <c r="J65" i="128"/>
  <c r="D29" i="128"/>
  <c r="D34" i="128"/>
  <c r="D37" i="128"/>
  <c r="C119" i="128"/>
  <c r="E119" i="128"/>
  <c r="J119" i="128"/>
  <c r="O119" i="128"/>
  <c r="J57" i="128"/>
  <c r="C73" i="128"/>
  <c r="F73" i="128"/>
  <c r="N73" i="128"/>
  <c r="L88" i="128"/>
  <c r="L98" i="128"/>
  <c r="L101" i="128"/>
  <c r="F29" i="128"/>
  <c r="F34" i="128"/>
  <c r="F35" i="128"/>
  <c r="J56" i="128"/>
  <c r="G106" i="128"/>
  <c r="L106" i="128"/>
  <c r="E29" i="128"/>
  <c r="E34" i="128"/>
  <c r="J59" i="128"/>
  <c r="C78" i="128"/>
  <c r="E78" i="128"/>
  <c r="I78" i="128"/>
  <c r="M78" i="128"/>
  <c r="C81" i="128"/>
  <c r="F81" i="128"/>
  <c r="N81" i="128"/>
  <c r="C114" i="128"/>
  <c r="E114" i="128"/>
  <c r="J114" i="128"/>
  <c r="O114" i="128"/>
  <c r="C84" i="128"/>
  <c r="F84" i="128"/>
  <c r="N84" i="128"/>
  <c r="L103" i="128"/>
  <c r="J98" i="128"/>
  <c r="K101" i="128"/>
  <c r="J51" i="128"/>
  <c r="L51" i="128"/>
  <c r="J54" i="128"/>
  <c r="J60" i="128"/>
  <c r="K62" i="128"/>
  <c r="C82" i="128"/>
  <c r="E82" i="128"/>
  <c r="L96" i="128"/>
  <c r="K104" i="128"/>
  <c r="K51" i="128"/>
  <c r="N35" i="128"/>
  <c r="N28" i="128"/>
  <c r="S38" i="128"/>
  <c r="G48" i="128"/>
  <c r="L54" i="128"/>
  <c r="L57" i="128"/>
  <c r="K65" i="128"/>
  <c r="C86" i="128"/>
  <c r="E86" i="128"/>
  <c r="J96" i="128"/>
  <c r="J62" i="128"/>
  <c r="K96" i="128"/>
  <c r="D119" i="128"/>
  <c r="I119" i="128"/>
  <c r="N119" i="128"/>
  <c r="K57" i="128"/>
  <c r="C120" i="128"/>
  <c r="L52" i="128"/>
  <c r="L60" i="128"/>
  <c r="L65" i="128"/>
  <c r="J103" i="128"/>
  <c r="J104" i="128"/>
  <c r="K54" i="128"/>
  <c r="L62" i="128"/>
  <c r="O37" i="128"/>
  <c r="L63" i="128"/>
  <c r="C112" i="128"/>
  <c r="M98" i="125"/>
  <c r="M115" i="125"/>
  <c r="L107" i="125"/>
  <c r="P98" i="125"/>
  <c r="L101" i="125"/>
  <c r="Q98" i="125"/>
  <c r="L104" i="125"/>
  <c r="L63" i="125"/>
  <c r="L66" i="125"/>
  <c r="E79" i="128"/>
  <c r="F79" i="128"/>
  <c r="N79" i="128"/>
  <c r="T31" i="128"/>
  <c r="T32" i="128"/>
  <c r="D115" i="128"/>
  <c r="I115" i="128"/>
  <c r="N115" i="128"/>
  <c r="E115" i="128"/>
  <c r="J115" i="128"/>
  <c r="O115" i="128"/>
  <c r="E118" i="128"/>
  <c r="J118" i="128"/>
  <c r="O118" i="128"/>
  <c r="D118" i="128"/>
  <c r="I118" i="128"/>
  <c r="N118" i="128"/>
  <c r="E74" i="128"/>
  <c r="F74" i="128"/>
  <c r="N74" i="128"/>
  <c r="D117" i="128"/>
  <c r="I117" i="128"/>
  <c r="N117" i="128"/>
  <c r="E117" i="128"/>
  <c r="J117" i="128"/>
  <c r="O117" i="128"/>
  <c r="F85" i="128"/>
  <c r="N85" i="128"/>
  <c r="E85" i="128"/>
  <c r="F75" i="128"/>
  <c r="N75" i="128"/>
  <c r="E75" i="128"/>
  <c r="F83" i="128"/>
  <c r="N83" i="128"/>
  <c r="E83" i="128"/>
  <c r="E116" i="128"/>
  <c r="J116" i="128"/>
  <c r="O116" i="128"/>
  <c r="D116" i="128"/>
  <c r="I116" i="128"/>
  <c r="N116" i="128"/>
  <c r="D121" i="128"/>
  <c r="I121" i="128"/>
  <c r="N121" i="128"/>
  <c r="E121" i="128"/>
  <c r="J121" i="128"/>
  <c r="O121" i="128"/>
  <c r="D113" i="128"/>
  <c r="I113" i="128"/>
  <c r="N113" i="128"/>
  <c r="E113" i="128"/>
  <c r="J113" i="128"/>
  <c r="E71" i="128"/>
  <c r="F71" i="128"/>
  <c r="J97" i="128"/>
  <c r="J105" i="128"/>
  <c r="E37" i="128"/>
  <c r="J50" i="128"/>
  <c r="K53" i="128"/>
  <c r="L56" i="128"/>
  <c r="L59" i="128"/>
  <c r="J61" i="128"/>
  <c r="K64" i="128"/>
  <c r="K97" i="128"/>
  <c r="L100" i="128"/>
  <c r="J102" i="128"/>
  <c r="K105" i="128"/>
  <c r="W30" i="128"/>
  <c r="X32" i="128"/>
  <c r="X33" i="128"/>
  <c r="K59" i="128"/>
  <c r="G66" i="128"/>
  <c r="K50" i="128"/>
  <c r="L53" i="128"/>
  <c r="J55" i="128"/>
  <c r="J58" i="128"/>
  <c r="K61" i="128"/>
  <c r="L64" i="128"/>
  <c r="C76" i="128"/>
  <c r="C80" i="128"/>
  <c r="L97" i="128"/>
  <c r="J99" i="128"/>
  <c r="K102" i="128"/>
  <c r="L105" i="128"/>
  <c r="J53" i="128"/>
  <c r="K56" i="128"/>
  <c r="J64" i="128"/>
  <c r="C77" i="128"/>
  <c r="K100" i="128"/>
  <c r="S34" i="128"/>
  <c r="L50" i="128"/>
  <c r="J52" i="128"/>
  <c r="K55" i="128"/>
  <c r="K58" i="128"/>
  <c r="J63" i="128"/>
  <c r="E72" i="128"/>
  <c r="K99" i="128"/>
  <c r="L102" i="128"/>
  <c r="L58" i="128"/>
  <c r="L99" i="128"/>
  <c r="J101" i="128"/>
  <c r="J100" i="128"/>
  <c r="D1" i="127"/>
  <c r="X5" i="127"/>
  <c r="W4" i="127"/>
  <c r="G5" i="127"/>
  <c r="F36" i="128"/>
  <c r="F78" i="128"/>
  <c r="N78" i="128"/>
  <c r="T38" i="128"/>
  <c r="T39" i="128"/>
  <c r="F28" i="128"/>
  <c r="K106" i="128"/>
  <c r="E73" i="128"/>
  <c r="I73" i="128"/>
  <c r="M73" i="128"/>
  <c r="F86" i="128"/>
  <c r="N86" i="128"/>
  <c r="E81" i="128"/>
  <c r="I81" i="128"/>
  <c r="M81" i="128"/>
  <c r="N36" i="128"/>
  <c r="D114" i="128"/>
  <c r="I114" i="128"/>
  <c r="N114" i="128"/>
  <c r="E84" i="128"/>
  <c r="I84" i="128"/>
  <c r="M84" i="128"/>
  <c r="I74" i="128"/>
  <c r="M74" i="128"/>
  <c r="I82" i="128"/>
  <c r="M82" i="128"/>
  <c r="D112" i="128"/>
  <c r="I112" i="128"/>
  <c r="N112" i="128"/>
  <c r="E112" i="128"/>
  <c r="J112" i="128"/>
  <c r="O112" i="128"/>
  <c r="F82" i="128"/>
  <c r="N82" i="128"/>
  <c r="I85" i="128"/>
  <c r="M85" i="128"/>
  <c r="I79" i="128"/>
  <c r="M79" i="128"/>
  <c r="J106" i="128"/>
  <c r="I83" i="128"/>
  <c r="M83" i="128"/>
  <c r="I86" i="128"/>
  <c r="M86" i="128"/>
  <c r="J66" i="128"/>
  <c r="O113" i="128"/>
  <c r="G37" i="128"/>
  <c r="I71" i="128"/>
  <c r="M71" i="128"/>
  <c r="I72" i="128"/>
  <c r="M72" i="128"/>
  <c r="I75" i="128"/>
  <c r="M75" i="128"/>
  <c r="E120" i="128"/>
  <c r="J120" i="128"/>
  <c r="O120" i="128"/>
  <c r="D120" i="128"/>
  <c r="I120" i="128"/>
  <c r="N120" i="128"/>
  <c r="M62" i="125"/>
  <c r="J61" i="125"/>
  <c r="L66" i="128"/>
  <c r="K66" i="128"/>
  <c r="F80" i="128"/>
  <c r="N80" i="128"/>
  <c r="E80" i="128"/>
  <c r="F77" i="128"/>
  <c r="N77" i="128"/>
  <c r="E77" i="128"/>
  <c r="F76" i="128"/>
  <c r="N76" i="128"/>
  <c r="E76" i="128"/>
  <c r="N71" i="128"/>
  <c r="H5" i="127"/>
  <c r="G4" i="127"/>
  <c r="Y5" i="127"/>
  <c r="X4" i="127"/>
  <c r="I80" i="128"/>
  <c r="M80" i="128"/>
  <c r="O107" i="128"/>
  <c r="O122" i="128"/>
  <c r="O123" i="128"/>
  <c r="O125" i="128"/>
  <c r="N107" i="128"/>
  <c r="N122" i="128"/>
  <c r="N123" i="128"/>
  <c r="I76" i="128"/>
  <c r="M76" i="128"/>
  <c r="I77" i="128"/>
  <c r="M77" i="128"/>
  <c r="N87" i="128"/>
  <c r="N88" i="128"/>
  <c r="N90" i="128"/>
  <c r="F87" i="128"/>
  <c r="G87" i="128"/>
  <c r="Y4" i="127"/>
  <c r="Z5" i="127"/>
  <c r="I5" i="127"/>
  <c r="H4" i="127"/>
  <c r="M87" i="128"/>
  <c r="M88" i="128"/>
  <c r="M90" i="128"/>
  <c r="L91" i="128"/>
  <c r="L92" i="128"/>
  <c r="N125" i="128"/>
  <c r="N126" i="128"/>
  <c r="Q123" i="128"/>
  <c r="I4" i="127"/>
  <c r="J5" i="127"/>
  <c r="AA5" i="127"/>
  <c r="Z4" i="127"/>
  <c r="M30" i="128"/>
  <c r="M33" i="128"/>
  <c r="M35" i="128"/>
  <c r="N127" i="128"/>
  <c r="E30" i="128"/>
  <c r="E33" i="128"/>
  <c r="M28" i="128"/>
  <c r="M36" i="128"/>
  <c r="AB5" i="127"/>
  <c r="AA4" i="127"/>
  <c r="J4" i="127"/>
  <c r="K5" i="127"/>
  <c r="E35" i="128"/>
  <c r="E36" i="128"/>
  <c r="D30" i="128"/>
  <c r="D33" i="128"/>
  <c r="D35" i="128"/>
  <c r="G35" i="128"/>
  <c r="G36" i="128"/>
  <c r="H36" i="128"/>
  <c r="L30" i="128"/>
  <c r="L33" i="128"/>
  <c r="L35" i="128"/>
  <c r="E28" i="128"/>
  <c r="AB4" i="127"/>
  <c r="AC5" i="127"/>
  <c r="L5" i="127"/>
  <c r="K4" i="127"/>
  <c r="D36" i="128"/>
  <c r="D28" i="128"/>
  <c r="L28" i="128"/>
  <c r="L36" i="128"/>
  <c r="O35" i="128"/>
  <c r="O36" i="128"/>
  <c r="P36" i="128"/>
  <c r="M5" i="127"/>
  <c r="L4" i="127"/>
  <c r="AD5" i="127"/>
  <c r="AC4" i="127"/>
  <c r="AE5" i="127"/>
  <c r="AD4" i="127"/>
  <c r="M4" i="127"/>
  <c r="N5" i="127"/>
  <c r="AF5" i="127"/>
  <c r="AE4" i="127"/>
  <c r="N4" i="127"/>
  <c r="O5" i="127"/>
  <c r="P5" i="127"/>
  <c r="O4" i="127"/>
  <c r="AG5" i="127"/>
  <c r="AF4" i="127"/>
  <c r="AG4" i="127"/>
  <c r="U13" i="127"/>
  <c r="Q5" i="127"/>
  <c r="P4" i="127"/>
  <c r="Q4" i="127"/>
  <c r="E13" i="127"/>
  <c r="V13" i="127"/>
  <c r="U12" i="127"/>
  <c r="V12" i="127"/>
  <c r="W13" i="127"/>
  <c r="E12" i="127"/>
  <c r="F13" i="127"/>
  <c r="G13" i="127"/>
  <c r="F12" i="127"/>
  <c r="W12" i="127"/>
  <c r="X13" i="127"/>
  <c r="X12" i="127"/>
  <c r="Y13" i="127"/>
  <c r="H13" i="127"/>
  <c r="G12" i="127"/>
  <c r="I13" i="127"/>
  <c r="H12" i="127"/>
  <c r="Z13" i="127"/>
  <c r="Y12" i="127"/>
  <c r="AA13" i="127"/>
  <c r="Z12" i="127"/>
  <c r="J13" i="127"/>
  <c r="I12" i="127"/>
  <c r="K13" i="127"/>
  <c r="J12" i="127"/>
  <c r="AB13" i="127"/>
  <c r="AA12" i="127"/>
  <c r="AC13" i="127"/>
  <c r="AB12" i="127"/>
  <c r="K12" i="127"/>
  <c r="L13" i="127"/>
  <c r="L12" i="127"/>
  <c r="M13" i="127"/>
  <c r="AD13" i="127"/>
  <c r="AC12" i="127"/>
  <c r="M12" i="127"/>
  <c r="N13" i="127"/>
  <c r="AD12" i="127"/>
  <c r="AE13" i="127"/>
  <c r="AE12" i="127"/>
  <c r="AF13" i="127"/>
  <c r="O13" i="127"/>
  <c r="N12" i="127"/>
  <c r="AF12" i="127"/>
  <c r="AG13" i="127"/>
  <c r="P13" i="127"/>
  <c r="O12" i="127"/>
  <c r="P12" i="127"/>
  <c r="Q13" i="127"/>
  <c r="U21" i="127"/>
  <c r="AG12" i="127"/>
  <c r="V21" i="127"/>
  <c r="U20" i="127"/>
  <c r="E21" i="127"/>
  <c r="Q12" i="127"/>
  <c r="F21" i="127"/>
  <c r="E20" i="127"/>
  <c r="W21" i="127"/>
  <c r="V20" i="127"/>
  <c r="W20" i="127"/>
  <c r="X21" i="127"/>
  <c r="G21" i="127"/>
  <c r="F20" i="127"/>
  <c r="Y21" i="127"/>
  <c r="X20" i="127"/>
  <c r="G20" i="127"/>
  <c r="H21" i="127"/>
  <c r="H20" i="127"/>
  <c r="I21" i="127"/>
  <c r="Z21" i="127"/>
  <c r="Y20" i="127"/>
  <c r="I20" i="127"/>
  <c r="J21" i="127"/>
  <c r="Z20" i="127"/>
  <c r="AA21" i="127"/>
  <c r="AA20" i="127"/>
  <c r="AB21" i="127"/>
  <c r="K21" i="127"/>
  <c r="J20" i="127"/>
  <c r="AB20" i="127"/>
  <c r="AC21" i="127"/>
  <c r="L21" i="127"/>
  <c r="K20" i="127"/>
  <c r="AD21" i="127"/>
  <c r="AC20" i="127"/>
  <c r="M21" i="127"/>
  <c r="L20" i="127"/>
  <c r="N21" i="127"/>
  <c r="M20" i="127"/>
  <c r="AE21" i="127"/>
  <c r="AD20" i="127"/>
  <c r="AF21" i="127"/>
  <c r="AE20" i="127"/>
  <c r="O21" i="127"/>
  <c r="N20" i="127"/>
  <c r="O20" i="127"/>
  <c r="P21" i="127"/>
  <c r="AG21" i="127"/>
  <c r="AF20" i="127"/>
  <c r="U29" i="127"/>
  <c r="AG20" i="127"/>
  <c r="P20" i="127"/>
  <c r="Q21" i="127"/>
  <c r="Q20" i="127"/>
  <c r="E29" i="127"/>
  <c r="V29" i="127"/>
  <c r="U28" i="127"/>
  <c r="E28" i="127"/>
  <c r="F29" i="127"/>
  <c r="W29" i="127"/>
  <c r="V28" i="127"/>
  <c r="W28" i="127"/>
  <c r="X29" i="127"/>
  <c r="F28" i="127"/>
  <c r="G29" i="127"/>
  <c r="H29" i="127"/>
  <c r="G28" i="127"/>
  <c r="X28" i="127"/>
  <c r="Y29" i="127"/>
  <c r="Y28" i="127"/>
  <c r="Z29" i="127"/>
  <c r="I29" i="127"/>
  <c r="H28" i="127"/>
  <c r="I28" i="127"/>
  <c r="J29" i="127"/>
  <c r="AA29" i="127"/>
  <c r="Z28" i="127"/>
  <c r="K29" i="127"/>
  <c r="J28" i="127"/>
  <c r="AB29" i="127"/>
  <c r="AA28" i="127"/>
  <c r="AC29" i="127"/>
  <c r="AB28" i="127"/>
  <c r="L29" i="127"/>
  <c r="K28" i="127"/>
  <c r="L28" i="127"/>
  <c r="M29" i="127"/>
  <c r="AD29" i="127"/>
  <c r="AC28" i="127"/>
  <c r="AE29" i="127"/>
  <c r="AD28" i="127"/>
  <c r="M28" i="127"/>
  <c r="N29" i="127"/>
  <c r="N28" i="127"/>
  <c r="O29" i="127"/>
  <c r="AE28" i="127"/>
  <c r="AF29" i="127"/>
  <c r="AF28" i="127"/>
  <c r="AG29" i="127"/>
  <c r="AG28" i="127"/>
  <c r="P29" i="127"/>
  <c r="O28" i="127"/>
  <c r="Q29" i="127"/>
  <c r="Q28" i="127"/>
  <c r="P28" i="127"/>
  <c r="J58" i="125"/>
  <c r="X58" i="125"/>
  <c r="X60" i="125"/>
  <c r="X89" i="125"/>
  <c r="W58" i="125"/>
  <c r="W60" i="125"/>
  <c r="W89" i="125"/>
  <c r="V58" i="125"/>
  <c r="V60" i="125"/>
  <c r="V89" i="125"/>
  <c r="U58" i="125"/>
  <c r="U60" i="125"/>
  <c r="U89" i="125"/>
  <c r="T58" i="125"/>
  <c r="T60" i="125"/>
  <c r="T89" i="125"/>
  <c r="S60" i="125"/>
  <c r="S89" i="125"/>
  <c r="R58" i="125"/>
  <c r="R60" i="125"/>
  <c r="R89" i="125"/>
  <c r="Q60" i="125"/>
  <c r="Q89" i="125"/>
  <c r="P58" i="125"/>
  <c r="P60" i="125"/>
  <c r="P89" i="125"/>
  <c r="O58" i="125"/>
  <c r="O60" i="125"/>
  <c r="O89" i="125"/>
  <c r="N58" i="125"/>
  <c r="N60" i="125"/>
  <c r="N89" i="125"/>
  <c r="M60" i="125"/>
  <c r="X55" i="125"/>
  <c r="X57" i="125"/>
  <c r="X82" i="125"/>
  <c r="W55" i="125"/>
  <c r="W57" i="125"/>
  <c r="W82" i="125"/>
  <c r="V55" i="125"/>
  <c r="V57" i="125"/>
  <c r="U55" i="125"/>
  <c r="U57" i="125"/>
  <c r="U82" i="125"/>
  <c r="T55" i="125"/>
  <c r="T57" i="125"/>
  <c r="T82" i="125"/>
  <c r="S57" i="125"/>
  <c r="S82" i="125"/>
  <c r="R55" i="125"/>
  <c r="R57" i="125"/>
  <c r="R82" i="125"/>
  <c r="P55" i="125"/>
  <c r="P57" i="125"/>
  <c r="O55" i="125"/>
  <c r="O57" i="125"/>
  <c r="O82" i="125"/>
  <c r="N55" i="125"/>
  <c r="N57" i="125"/>
  <c r="N82" i="125"/>
  <c r="J55" i="125"/>
  <c r="L52" i="125"/>
  <c r="R51" i="125"/>
  <c r="Q51" i="125"/>
  <c r="P51" i="125"/>
  <c r="O51" i="125"/>
  <c r="M89" i="125"/>
  <c r="M54" i="125"/>
  <c r="M53" i="125"/>
  <c r="V54" i="125"/>
  <c r="V82" i="125"/>
  <c r="P54" i="125"/>
  <c r="P82" i="125"/>
  <c r="U54" i="125"/>
  <c r="Q54" i="125"/>
  <c r="Q53" i="125"/>
  <c r="X54" i="125"/>
  <c r="W54" i="125"/>
  <c r="S54" i="125"/>
  <c r="S53" i="125"/>
  <c r="R54" i="125"/>
  <c r="T54" i="125"/>
  <c r="N54" i="125"/>
  <c r="O54" i="125"/>
  <c r="L60" i="125"/>
  <c r="L57" i="125"/>
  <c r="L55" i="125"/>
  <c r="L58" i="125"/>
  <c r="L54" i="125"/>
  <c r="J52" i="125"/>
  <c r="I48" i="125"/>
  <c r="I45" i="125"/>
  <c r="J48" i="125"/>
  <c r="X48" i="125"/>
  <c r="W48" i="125"/>
  <c r="W50" i="125"/>
  <c r="W79" i="125"/>
  <c r="V48" i="125"/>
  <c r="V50" i="125"/>
  <c r="V79" i="125"/>
  <c r="U48" i="125"/>
  <c r="U50" i="125"/>
  <c r="U79" i="125"/>
  <c r="T48" i="125"/>
  <c r="T50" i="125"/>
  <c r="T79" i="125"/>
  <c r="S48" i="125"/>
  <c r="S50" i="125"/>
  <c r="S79" i="125"/>
  <c r="R48" i="125"/>
  <c r="Q48" i="125"/>
  <c r="Q50" i="125"/>
  <c r="Q79" i="125"/>
  <c r="P48" i="125"/>
  <c r="P50" i="125"/>
  <c r="P79" i="125"/>
  <c r="O48" i="125"/>
  <c r="O50" i="125"/>
  <c r="O79" i="125"/>
  <c r="N48" i="125"/>
  <c r="N50" i="125"/>
  <c r="N79" i="125"/>
  <c r="M48" i="125"/>
  <c r="M50" i="125"/>
  <c r="M79" i="125"/>
  <c r="J45" i="125"/>
  <c r="X45" i="125"/>
  <c r="W45" i="125"/>
  <c r="W47" i="125"/>
  <c r="W88" i="125"/>
  <c r="V45" i="125"/>
  <c r="V47" i="125"/>
  <c r="V88" i="125"/>
  <c r="U45" i="125"/>
  <c r="U47" i="125"/>
  <c r="U88" i="125"/>
  <c r="T45" i="125"/>
  <c r="T47" i="125"/>
  <c r="T88" i="125"/>
  <c r="S45" i="125"/>
  <c r="S47" i="125"/>
  <c r="S88" i="125"/>
  <c r="R45" i="125"/>
  <c r="R47" i="125"/>
  <c r="R88" i="125"/>
  <c r="Q45" i="125"/>
  <c r="Q47" i="125"/>
  <c r="Q88" i="125"/>
  <c r="P45" i="125"/>
  <c r="P47" i="125"/>
  <c r="P88" i="125"/>
  <c r="O45" i="125"/>
  <c r="O47" i="125"/>
  <c r="O88" i="125"/>
  <c r="N45" i="125"/>
  <c r="N47" i="125"/>
  <c r="N88" i="125"/>
  <c r="M45" i="125"/>
  <c r="M47" i="125"/>
  <c r="M88" i="125"/>
  <c r="L42" i="125"/>
  <c r="M38" i="125"/>
  <c r="M133" i="119"/>
  <c r="X169" i="119"/>
  <c r="W169" i="119"/>
  <c r="V169" i="119"/>
  <c r="U169" i="119"/>
  <c r="T169" i="119"/>
  <c r="S169" i="119"/>
  <c r="R169" i="119"/>
  <c r="Q169" i="119"/>
  <c r="P169" i="119"/>
  <c r="O169" i="119"/>
  <c r="N169" i="119"/>
  <c r="M169" i="119"/>
  <c r="Q157" i="119"/>
  <c r="P157" i="119"/>
  <c r="O157" i="119"/>
  <c r="N157" i="119"/>
  <c r="M157" i="119"/>
  <c r="X157" i="119"/>
  <c r="V157" i="119"/>
  <c r="U157" i="119"/>
  <c r="T157" i="119"/>
  <c r="S157" i="119"/>
  <c r="R157" i="119"/>
  <c r="X145" i="119"/>
  <c r="V145" i="119"/>
  <c r="U145" i="119"/>
  <c r="S145" i="119"/>
  <c r="R145" i="119"/>
  <c r="Q145" i="119"/>
  <c r="P145" i="119"/>
  <c r="O145" i="119"/>
  <c r="N145" i="119"/>
  <c r="M145" i="119"/>
  <c r="X133" i="119"/>
  <c r="V133" i="119"/>
  <c r="U133" i="119"/>
  <c r="S133" i="119"/>
  <c r="R133" i="119"/>
  <c r="Q133" i="119"/>
  <c r="P133" i="119"/>
  <c r="O133" i="119"/>
  <c r="N133" i="119"/>
  <c r="L116" i="125"/>
  <c r="L115" i="125"/>
  <c r="L114" i="125"/>
  <c r="X111" i="125"/>
  <c r="W111" i="125"/>
  <c r="V111" i="125"/>
  <c r="U111" i="125"/>
  <c r="T111" i="125"/>
  <c r="S111" i="125"/>
  <c r="R111" i="125"/>
  <c r="Q111" i="125"/>
  <c r="P111" i="125"/>
  <c r="O111" i="125"/>
  <c r="N111" i="125"/>
  <c r="M111" i="125"/>
  <c r="X109" i="125"/>
  <c r="W109" i="125"/>
  <c r="V109" i="125"/>
  <c r="U109" i="125"/>
  <c r="T109" i="125"/>
  <c r="S109" i="125"/>
  <c r="R109" i="125"/>
  <c r="Q109" i="125"/>
  <c r="P109" i="125"/>
  <c r="O109" i="125"/>
  <c r="N109" i="125"/>
  <c r="M109" i="125"/>
  <c r="F109" i="125"/>
  <c r="L96" i="125"/>
  <c r="X93" i="125"/>
  <c r="W93" i="125"/>
  <c r="V93" i="125"/>
  <c r="U93" i="125"/>
  <c r="T93" i="125"/>
  <c r="S93" i="125"/>
  <c r="R93" i="125"/>
  <c r="Q93" i="125"/>
  <c r="P93" i="125"/>
  <c r="O93" i="125"/>
  <c r="N93" i="125"/>
  <c r="M93" i="125"/>
  <c r="F91" i="125"/>
  <c r="T44" i="125"/>
  <c r="N44" i="125"/>
  <c r="V44" i="125"/>
  <c r="M44" i="125"/>
  <c r="U44" i="125"/>
  <c r="S44" i="125"/>
  <c r="O44" i="125"/>
  <c r="O43" i="125"/>
  <c r="W44" i="125"/>
  <c r="P44" i="125"/>
  <c r="P43" i="125"/>
  <c r="Q44" i="125"/>
  <c r="Q43" i="125"/>
  <c r="X47" i="125"/>
  <c r="X88" i="125"/>
  <c r="X50" i="125"/>
  <c r="X79" i="125"/>
  <c r="L48" i="125"/>
  <c r="X51" i="125"/>
  <c r="W51" i="125"/>
  <c r="U51" i="125"/>
  <c r="M51" i="125"/>
  <c r="T51" i="125"/>
  <c r="S51" i="125"/>
  <c r="V51" i="125"/>
  <c r="N51" i="125"/>
  <c r="L45" i="125"/>
  <c r="R50" i="125"/>
  <c r="R79" i="125"/>
  <c r="L109" i="125"/>
  <c r="N97" i="125"/>
  <c r="N91" i="125"/>
  <c r="L50" i="125"/>
  <c r="X44" i="125"/>
  <c r="R44" i="125"/>
  <c r="R43" i="125"/>
  <c r="L47" i="125"/>
  <c r="W97" i="125"/>
  <c r="W91" i="125"/>
  <c r="P97" i="125"/>
  <c r="P91" i="125"/>
  <c r="O97" i="125"/>
  <c r="O91" i="125"/>
  <c r="T97" i="125"/>
  <c r="T91" i="125"/>
  <c r="R97" i="125"/>
  <c r="R91" i="125"/>
  <c r="S97" i="125"/>
  <c r="S91" i="125"/>
  <c r="L51" i="125"/>
  <c r="X97" i="125"/>
  <c r="X91" i="125"/>
  <c r="Q97" i="125"/>
  <c r="Q91" i="125"/>
  <c r="L44" i="125"/>
  <c r="J42" i="125"/>
  <c r="L98" i="125"/>
  <c r="L91" i="125"/>
  <c r="M97" i="125"/>
  <c r="M91" i="125"/>
  <c r="J96" i="125"/>
  <c r="M50" i="120"/>
  <c r="M48" i="120"/>
  <c r="M49" i="120"/>
  <c r="N49" i="120"/>
  <c r="N50" i="120"/>
  <c r="P40" i="120"/>
  <c r="L3" i="125"/>
  <c r="L2" i="125"/>
  <c r="L5" i="125"/>
  <c r="L4" i="125"/>
  <c r="L6" i="125"/>
  <c r="L7" i="125"/>
  <c r="L8" i="125"/>
  <c r="L10" i="125"/>
  <c r="L9" i="125"/>
  <c r="L12" i="125"/>
  <c r="L11" i="125"/>
  <c r="L13" i="125"/>
  <c r="O50" i="120"/>
  <c r="M38" i="120"/>
  <c r="V81" i="105"/>
  <c r="V80" i="105"/>
  <c r="P19" i="120"/>
  <c r="P6" i="120"/>
  <c r="V83" i="105"/>
  <c r="T83" i="105"/>
  <c r="S83" i="105"/>
  <c r="V82" i="105"/>
  <c r="S82" i="105"/>
  <c r="T81" i="105"/>
  <c r="S81" i="105"/>
  <c r="T80" i="105"/>
  <c r="S80" i="105"/>
  <c r="V73" i="105"/>
  <c r="V72" i="105"/>
  <c r="V71" i="105"/>
  <c r="M27" i="120"/>
  <c r="M17" i="120"/>
  <c r="T73" i="105"/>
  <c r="T72" i="105"/>
  <c r="T71" i="105"/>
  <c r="T70" i="105"/>
  <c r="X65" i="105"/>
  <c r="X64" i="105"/>
  <c r="X63" i="105"/>
  <c r="X62" i="105"/>
  <c r="W65" i="105"/>
  <c r="W64" i="105"/>
  <c r="W63" i="105"/>
  <c r="W62" i="105"/>
  <c r="V53" i="105"/>
  <c r="N16" i="120"/>
  <c r="M16" i="120"/>
  <c r="M15" i="120"/>
  <c r="M26" i="120"/>
  <c r="M25" i="120"/>
  <c r="S73" i="105"/>
  <c r="S72" i="105"/>
  <c r="S71" i="105"/>
  <c r="S70" i="105"/>
  <c r="O49" i="120"/>
  <c r="O48" i="120"/>
  <c r="M37" i="120"/>
  <c r="M36" i="120"/>
  <c r="T65" i="105"/>
  <c r="T64" i="105"/>
  <c r="T63" i="105"/>
  <c r="T62" i="105"/>
  <c r="S65" i="105"/>
  <c r="S64" i="105"/>
  <c r="S63" i="105"/>
  <c r="S62" i="105"/>
  <c r="Y105" i="105"/>
  <c r="X105" i="105"/>
  <c r="V105" i="105"/>
  <c r="S105" i="105"/>
  <c r="Y104" i="105"/>
  <c r="X104" i="105"/>
  <c r="V104" i="105"/>
  <c r="S104" i="105"/>
  <c r="Y103" i="105"/>
  <c r="X103" i="105"/>
  <c r="V103" i="105"/>
  <c r="S103" i="105"/>
  <c r="Y102" i="105"/>
  <c r="X102" i="105"/>
  <c r="V102" i="105"/>
  <c r="S102" i="105"/>
  <c r="N38" i="120"/>
  <c r="P31" i="97"/>
  <c r="M47" i="120"/>
  <c r="O47" i="120"/>
  <c r="M45" i="120"/>
  <c r="M44" i="120"/>
  <c r="O44" i="120"/>
  <c r="M43" i="120"/>
  <c r="O43" i="120"/>
  <c r="M42" i="120"/>
  <c r="O42" i="120"/>
  <c r="M41" i="120"/>
  <c r="O41" i="120"/>
  <c r="M40" i="120"/>
  <c r="O40" i="120"/>
  <c r="M46" i="120"/>
  <c r="O46" i="120"/>
  <c r="O38" i="120"/>
  <c r="P29" i="120"/>
  <c r="N17" i="120"/>
  <c r="O36" i="120"/>
  <c r="N37" i="120"/>
  <c r="O37" i="120"/>
  <c r="N27" i="120"/>
  <c r="O27" i="120"/>
  <c r="O25" i="120"/>
  <c r="M24" i="120"/>
  <c r="O24" i="120"/>
  <c r="M22" i="120"/>
  <c r="O22" i="120"/>
  <c r="M21" i="120"/>
  <c r="M20" i="120"/>
  <c r="O20" i="120"/>
  <c r="M19" i="120"/>
  <c r="O19" i="120"/>
  <c r="N26" i="120"/>
  <c r="O26" i="120"/>
  <c r="O16" i="120"/>
  <c r="M23" i="120"/>
  <c r="O21" i="120"/>
  <c r="P18" i="120"/>
  <c r="P20" i="120"/>
  <c r="P21" i="120"/>
  <c r="P22" i="120"/>
  <c r="O17" i="120"/>
  <c r="J163" i="119"/>
  <c r="G163" i="119"/>
  <c r="G151" i="119"/>
  <c r="G139" i="119"/>
  <c r="J151" i="119"/>
  <c r="J139" i="119"/>
  <c r="R176" i="119"/>
  <c r="J175" i="119" s="1"/>
  <c r="X167" i="119"/>
  <c r="W167" i="119"/>
  <c r="T167" i="119"/>
  <c r="S167" i="119"/>
  <c r="R167" i="119"/>
  <c r="Q167" i="119"/>
  <c r="P167" i="119"/>
  <c r="O167" i="119"/>
  <c r="N167" i="119"/>
  <c r="M167" i="119"/>
  <c r="X155" i="119"/>
  <c r="W155" i="119"/>
  <c r="V155" i="119"/>
  <c r="U155" i="119"/>
  <c r="T155" i="119"/>
  <c r="S155" i="119"/>
  <c r="R155" i="119"/>
  <c r="Q155" i="119"/>
  <c r="P155" i="119"/>
  <c r="O155" i="119"/>
  <c r="N155" i="119"/>
  <c r="M155" i="119"/>
  <c r="J136" i="119"/>
  <c r="X143" i="119"/>
  <c r="W143" i="119"/>
  <c r="V143" i="119"/>
  <c r="U143" i="119"/>
  <c r="T143" i="119"/>
  <c r="S143" i="119"/>
  <c r="R143" i="119"/>
  <c r="Q143" i="119"/>
  <c r="P143" i="119"/>
  <c r="O143" i="119"/>
  <c r="N143" i="119"/>
  <c r="M143" i="119"/>
  <c r="X181" i="119"/>
  <c r="W181" i="119"/>
  <c r="V181" i="119"/>
  <c r="U181" i="119"/>
  <c r="T181" i="119"/>
  <c r="S181" i="119"/>
  <c r="R181" i="119"/>
  <c r="Q181" i="119"/>
  <c r="P181" i="119"/>
  <c r="O181" i="119"/>
  <c r="N181" i="119"/>
  <c r="M181" i="119"/>
  <c r="F179" i="119"/>
  <c r="G175" i="119"/>
  <c r="J172" i="119"/>
  <c r="G172" i="119"/>
  <c r="I172" i="119" s="1"/>
  <c r="G168" i="119"/>
  <c r="G166" i="119"/>
  <c r="I166" i="119" s="1"/>
  <c r="J160" i="119"/>
  <c r="G160" i="119"/>
  <c r="G154" i="119"/>
  <c r="I154" i="119" s="1"/>
  <c r="J148" i="119"/>
  <c r="G148" i="119"/>
  <c r="I148" i="119" s="1"/>
  <c r="G142" i="119"/>
  <c r="I142" i="119" s="1"/>
  <c r="G136" i="119"/>
  <c r="I136" i="119" s="1"/>
  <c r="I139" i="119" s="1"/>
  <c r="X130" i="119"/>
  <c r="W130" i="119"/>
  <c r="V130" i="119"/>
  <c r="U130" i="119"/>
  <c r="T130" i="119"/>
  <c r="S130" i="119"/>
  <c r="R130" i="119"/>
  <c r="Q130" i="119"/>
  <c r="P130" i="119"/>
  <c r="O130" i="119"/>
  <c r="N130" i="119"/>
  <c r="M130" i="119"/>
  <c r="F128" i="119"/>
  <c r="I160" i="119"/>
  <c r="X73" i="119"/>
  <c r="X75" i="119" s="1"/>
  <c r="X109" i="119" s="1"/>
  <c r="W73" i="119"/>
  <c r="W75" i="119" s="1"/>
  <c r="W109" i="119" s="1"/>
  <c r="V73" i="119"/>
  <c r="V75" i="119" s="1"/>
  <c r="V109" i="119" s="1"/>
  <c r="U73" i="119"/>
  <c r="U75" i="119" s="1"/>
  <c r="U109" i="119" s="1"/>
  <c r="T73" i="119"/>
  <c r="T75" i="119" s="1"/>
  <c r="T109" i="119" s="1"/>
  <c r="S73" i="119"/>
  <c r="S75" i="119" s="1"/>
  <c r="R73" i="119"/>
  <c r="Q73" i="119"/>
  <c r="Q75" i="119" s="1"/>
  <c r="Q109" i="119" s="1"/>
  <c r="P73" i="119"/>
  <c r="P75" i="119" s="1"/>
  <c r="P109" i="119" s="1"/>
  <c r="O73" i="119"/>
  <c r="O75" i="119" s="1"/>
  <c r="O109" i="119" s="1"/>
  <c r="N73" i="119"/>
  <c r="N75" i="119" s="1"/>
  <c r="N109" i="119" s="1"/>
  <c r="M73" i="119"/>
  <c r="M75" i="119" s="1"/>
  <c r="M109" i="119" s="1"/>
  <c r="L70" i="119"/>
  <c r="I85" i="119"/>
  <c r="G85" i="119" s="1"/>
  <c r="W85" i="119" s="1"/>
  <c r="I82" i="119"/>
  <c r="I79" i="119"/>
  <c r="I76" i="119"/>
  <c r="I73" i="119"/>
  <c r="I66" i="119"/>
  <c r="I63" i="119"/>
  <c r="I60" i="119"/>
  <c r="I57" i="119"/>
  <c r="I54" i="119"/>
  <c r="I47" i="119"/>
  <c r="I44" i="119"/>
  <c r="I41" i="119"/>
  <c r="I38" i="119"/>
  <c r="I31" i="119"/>
  <c r="I28" i="119"/>
  <c r="I25" i="119"/>
  <c r="I22" i="119"/>
  <c r="I19" i="119"/>
  <c r="I16" i="119"/>
  <c r="I13" i="119"/>
  <c r="X69" i="119"/>
  <c r="T69" i="119"/>
  <c r="S69" i="119"/>
  <c r="S57" i="119"/>
  <c r="S59" i="119" s="1"/>
  <c r="J47" i="119"/>
  <c r="J31" i="119"/>
  <c r="J97" i="119" s="1"/>
  <c r="T133" i="119"/>
  <c r="T139" i="119" s="1"/>
  <c r="T141" i="119" s="1"/>
  <c r="W133" i="119"/>
  <c r="W145" i="119"/>
  <c r="T145" i="119"/>
  <c r="L89" i="125"/>
  <c r="L88" i="125"/>
  <c r="L82" i="125"/>
  <c r="L81" i="125"/>
  <c r="L79" i="125"/>
  <c r="X76" i="125"/>
  <c r="W76" i="125"/>
  <c r="V76" i="125"/>
  <c r="U76" i="125"/>
  <c r="T76" i="125"/>
  <c r="S76" i="125"/>
  <c r="R76" i="125"/>
  <c r="Q76" i="125"/>
  <c r="P76" i="125"/>
  <c r="O76" i="125"/>
  <c r="N76" i="125"/>
  <c r="M76" i="125"/>
  <c r="F74" i="125"/>
  <c r="X39" i="125"/>
  <c r="W39" i="125"/>
  <c r="T39" i="125"/>
  <c r="S39" i="125"/>
  <c r="R39" i="125"/>
  <c r="Q39" i="125"/>
  <c r="P39" i="125"/>
  <c r="O39" i="125"/>
  <c r="N39" i="125"/>
  <c r="M39" i="125"/>
  <c r="X38" i="125"/>
  <c r="W38" i="125"/>
  <c r="V38" i="125"/>
  <c r="V40" i="125"/>
  <c r="V85" i="125"/>
  <c r="U38" i="125"/>
  <c r="U40" i="125"/>
  <c r="U85" i="125"/>
  <c r="T38" i="125"/>
  <c r="S38" i="125"/>
  <c r="R38" i="125"/>
  <c r="Q38" i="125"/>
  <c r="P38" i="125"/>
  <c r="O38" i="125"/>
  <c r="N38" i="125"/>
  <c r="I38" i="125"/>
  <c r="X36" i="125"/>
  <c r="J35" i="125"/>
  <c r="X35" i="125"/>
  <c r="W35" i="125"/>
  <c r="W37" i="125"/>
  <c r="W84" i="125"/>
  <c r="V35" i="125"/>
  <c r="V37" i="125"/>
  <c r="V84" i="125"/>
  <c r="U35" i="125"/>
  <c r="U37" i="125"/>
  <c r="U84" i="125"/>
  <c r="T35" i="125"/>
  <c r="T37" i="125"/>
  <c r="T84" i="125"/>
  <c r="S35" i="125"/>
  <c r="S37" i="125"/>
  <c r="S84" i="125"/>
  <c r="R35" i="125"/>
  <c r="R37" i="125"/>
  <c r="R84" i="125"/>
  <c r="Q35" i="125"/>
  <c r="Q37" i="125"/>
  <c r="Q84" i="125"/>
  <c r="P35" i="125"/>
  <c r="P37" i="125"/>
  <c r="P84" i="125"/>
  <c r="O35" i="125"/>
  <c r="O37" i="125"/>
  <c r="O84" i="125"/>
  <c r="N35" i="125"/>
  <c r="N37" i="125"/>
  <c r="N84" i="125"/>
  <c r="I35" i="125"/>
  <c r="X32" i="125"/>
  <c r="X34" i="125"/>
  <c r="X86" i="125"/>
  <c r="W32" i="125"/>
  <c r="W34" i="125"/>
  <c r="W86" i="125"/>
  <c r="V32" i="125"/>
  <c r="V34" i="125"/>
  <c r="V86" i="125"/>
  <c r="U32" i="125"/>
  <c r="U34" i="125"/>
  <c r="U86" i="125"/>
  <c r="T32" i="125"/>
  <c r="T34" i="125"/>
  <c r="T86" i="125"/>
  <c r="S32" i="125"/>
  <c r="S34" i="125"/>
  <c r="S86" i="125"/>
  <c r="R32" i="125"/>
  <c r="R34" i="125"/>
  <c r="R86" i="125"/>
  <c r="Q32" i="125"/>
  <c r="Q34" i="125"/>
  <c r="Q86" i="125"/>
  <c r="P32" i="125"/>
  <c r="P34" i="125"/>
  <c r="P86" i="125"/>
  <c r="O32" i="125"/>
  <c r="O34" i="125"/>
  <c r="O86" i="125"/>
  <c r="N32" i="125"/>
  <c r="N34" i="125"/>
  <c r="N86" i="125"/>
  <c r="M32" i="125"/>
  <c r="M34" i="125"/>
  <c r="M86" i="125"/>
  <c r="J32" i="125"/>
  <c r="I32" i="125"/>
  <c r="X30" i="125"/>
  <c r="M30" i="125"/>
  <c r="X29" i="125"/>
  <c r="W29" i="125"/>
  <c r="W31" i="125"/>
  <c r="W83" i="125"/>
  <c r="V29" i="125"/>
  <c r="V31" i="125"/>
  <c r="V83" i="125"/>
  <c r="U29" i="125"/>
  <c r="U31" i="125"/>
  <c r="U83" i="125"/>
  <c r="T29" i="125"/>
  <c r="T31" i="125"/>
  <c r="T83" i="125"/>
  <c r="S29" i="125"/>
  <c r="S31" i="125"/>
  <c r="S83" i="125"/>
  <c r="R29" i="125"/>
  <c r="R31" i="125"/>
  <c r="R83" i="125"/>
  <c r="Q29" i="125"/>
  <c r="Q31" i="125"/>
  <c r="Q83" i="125"/>
  <c r="P29" i="125"/>
  <c r="P31" i="125"/>
  <c r="P83" i="125"/>
  <c r="O29" i="125"/>
  <c r="O31" i="125"/>
  <c r="O83" i="125"/>
  <c r="N29" i="125"/>
  <c r="N31" i="125"/>
  <c r="N83" i="125"/>
  <c r="M29" i="125"/>
  <c r="I29" i="125"/>
  <c r="X27" i="125"/>
  <c r="J26" i="125"/>
  <c r="X26" i="125"/>
  <c r="W26" i="125"/>
  <c r="W28" i="125"/>
  <c r="W80" i="125"/>
  <c r="V26" i="125"/>
  <c r="V28" i="125"/>
  <c r="V80" i="125"/>
  <c r="U26" i="125"/>
  <c r="U28" i="125"/>
  <c r="U80" i="125"/>
  <c r="T26" i="125"/>
  <c r="T28" i="125"/>
  <c r="T80" i="125"/>
  <c r="S26" i="125"/>
  <c r="S28" i="125"/>
  <c r="S80" i="125"/>
  <c r="R26" i="125"/>
  <c r="R28" i="125"/>
  <c r="R80" i="125"/>
  <c r="Q26" i="125"/>
  <c r="Q28" i="125"/>
  <c r="Q80" i="125"/>
  <c r="P26" i="125"/>
  <c r="P28" i="125"/>
  <c r="P80" i="125"/>
  <c r="O26" i="125"/>
  <c r="N26" i="125"/>
  <c r="N28" i="125"/>
  <c r="N80" i="125"/>
  <c r="M26" i="125"/>
  <c r="M28" i="125"/>
  <c r="M80" i="125"/>
  <c r="I26" i="125"/>
  <c r="X23" i="125"/>
  <c r="X25" i="125"/>
  <c r="X87" i="125"/>
  <c r="W23" i="125"/>
  <c r="W25" i="125"/>
  <c r="W87" i="125"/>
  <c r="V23" i="125"/>
  <c r="V25" i="125"/>
  <c r="V87" i="125"/>
  <c r="U23" i="125"/>
  <c r="U25" i="125"/>
  <c r="U87" i="125"/>
  <c r="T23" i="125"/>
  <c r="T25" i="125"/>
  <c r="T87" i="125"/>
  <c r="S23" i="125"/>
  <c r="S25" i="125"/>
  <c r="S87" i="125"/>
  <c r="R23" i="125"/>
  <c r="R25" i="125"/>
  <c r="R87" i="125"/>
  <c r="Q23" i="125"/>
  <c r="Q25" i="125"/>
  <c r="Q87" i="125"/>
  <c r="P23" i="125"/>
  <c r="P25" i="125"/>
  <c r="P87" i="125"/>
  <c r="O23" i="125"/>
  <c r="O25" i="125"/>
  <c r="O87" i="125"/>
  <c r="N23" i="125"/>
  <c r="N25" i="125"/>
  <c r="N87" i="125"/>
  <c r="M23" i="125"/>
  <c r="M25" i="125"/>
  <c r="M87" i="125"/>
  <c r="J23" i="125"/>
  <c r="I23" i="125"/>
  <c r="L20" i="125"/>
  <c r="X17" i="125"/>
  <c r="W17" i="125"/>
  <c r="V17" i="125"/>
  <c r="U17" i="125"/>
  <c r="T17" i="125"/>
  <c r="S17" i="125"/>
  <c r="R17" i="125"/>
  <c r="Q17" i="125"/>
  <c r="P17" i="125"/>
  <c r="O17" i="125"/>
  <c r="N17" i="125"/>
  <c r="M17" i="125"/>
  <c r="F15" i="125"/>
  <c r="W69" i="119"/>
  <c r="W157" i="119"/>
  <c r="V74" i="125"/>
  <c r="U74" i="125"/>
  <c r="L87" i="125"/>
  <c r="L86" i="125"/>
  <c r="U22" i="125"/>
  <c r="V22" i="125"/>
  <c r="W40" i="125"/>
  <c r="J29" i="125"/>
  <c r="M31" i="125"/>
  <c r="M83" i="125"/>
  <c r="R40" i="125"/>
  <c r="X40" i="125"/>
  <c r="X85" i="125"/>
  <c r="N40" i="125"/>
  <c r="T40" i="125"/>
  <c r="S40" i="125"/>
  <c r="J38" i="125"/>
  <c r="M40" i="125"/>
  <c r="M85" i="125"/>
  <c r="X28" i="125"/>
  <c r="X80" i="125"/>
  <c r="Q40" i="125"/>
  <c r="X31" i="125"/>
  <c r="X83" i="125"/>
  <c r="L23" i="125"/>
  <c r="L35" i="125"/>
  <c r="I41" i="125"/>
  <c r="G41" i="125"/>
  <c r="R41" i="125"/>
  <c r="L34" i="125"/>
  <c r="M37" i="125"/>
  <c r="O40" i="125"/>
  <c r="O85" i="125"/>
  <c r="L38" i="125"/>
  <c r="O28" i="125"/>
  <c r="L26" i="125"/>
  <c r="X37" i="125"/>
  <c r="X84" i="125"/>
  <c r="P40" i="125"/>
  <c r="L25" i="125"/>
  <c r="L32" i="125"/>
  <c r="L29" i="125"/>
  <c r="X74" i="125"/>
  <c r="N22" i="125"/>
  <c r="N85" i="125"/>
  <c r="N74" i="125"/>
  <c r="Q22" i="125"/>
  <c r="Q85" i="125"/>
  <c r="Q74" i="125"/>
  <c r="W22" i="125"/>
  <c r="W85" i="125"/>
  <c r="W74" i="125"/>
  <c r="P22" i="125"/>
  <c r="P85" i="125"/>
  <c r="P74" i="125"/>
  <c r="S22" i="125"/>
  <c r="S21" i="125"/>
  <c r="S85" i="125"/>
  <c r="S74" i="125"/>
  <c r="T22" i="125"/>
  <c r="T85" i="125"/>
  <c r="T74" i="125"/>
  <c r="R22" i="125"/>
  <c r="R85" i="125"/>
  <c r="R74" i="125"/>
  <c r="M84" i="125"/>
  <c r="L84" i="125"/>
  <c r="L83" i="125"/>
  <c r="O22" i="125"/>
  <c r="O80" i="125"/>
  <c r="O74" i="125"/>
  <c r="X22" i="125"/>
  <c r="M22" i="125"/>
  <c r="L31" i="125"/>
  <c r="L28" i="125"/>
  <c r="L37" i="125"/>
  <c r="N41" i="125"/>
  <c r="S41" i="125"/>
  <c r="W41" i="125"/>
  <c r="L40" i="125"/>
  <c r="T41" i="125"/>
  <c r="P41" i="125"/>
  <c r="V41" i="125"/>
  <c r="V15" i="125"/>
  <c r="O41" i="125"/>
  <c r="X41" i="125"/>
  <c r="Q41" i="125"/>
  <c r="U41" i="125"/>
  <c r="U15" i="125"/>
  <c r="M41" i="125"/>
  <c r="S15" i="125"/>
  <c r="T21" i="125"/>
  <c r="T15" i="125"/>
  <c r="N21" i="125"/>
  <c r="N15" i="125"/>
  <c r="Q21" i="125"/>
  <c r="Q15" i="125"/>
  <c r="R21" i="125"/>
  <c r="R15" i="125"/>
  <c r="W21" i="125"/>
  <c r="W15" i="125"/>
  <c r="P21" i="125"/>
  <c r="P15" i="125"/>
  <c r="X21" i="125"/>
  <c r="X15" i="125"/>
  <c r="O21" i="125"/>
  <c r="O15" i="125"/>
  <c r="M74" i="125"/>
  <c r="L85" i="125"/>
  <c r="L80" i="125"/>
  <c r="L41" i="125"/>
  <c r="L74" i="125"/>
  <c r="L22" i="125"/>
  <c r="L15" i="125"/>
  <c r="M21" i="125"/>
  <c r="J20" i="125"/>
  <c r="M15" i="125"/>
  <c r="AN40" i="69"/>
  <c r="AH40" i="69"/>
  <c r="AN39" i="69"/>
  <c r="AH39" i="69"/>
  <c r="AN38" i="69"/>
  <c r="AH38" i="69"/>
  <c r="AN37" i="69"/>
  <c r="AH37" i="69"/>
  <c r="AN36" i="69"/>
  <c r="AH36" i="69"/>
  <c r="AM35" i="69"/>
  <c r="AF35" i="69"/>
  <c r="AM34" i="69"/>
  <c r="AF34" i="69"/>
  <c r="AM33" i="69"/>
  <c r="AF33" i="69"/>
  <c r="AM32" i="69"/>
  <c r="AF32" i="69"/>
  <c r="AM31" i="69"/>
  <c r="AF31" i="69"/>
  <c r="AM30" i="69"/>
  <c r="AF30" i="69"/>
  <c r="AM29" i="69"/>
  <c r="AF29" i="69"/>
  <c r="AM28" i="69"/>
  <c r="AF28" i="69"/>
  <c r="AM27" i="69"/>
  <c r="AF27" i="69"/>
  <c r="AM26" i="69"/>
  <c r="AF26" i="69"/>
  <c r="AM25" i="69"/>
  <c r="AF25" i="69"/>
  <c r="AM24" i="69"/>
  <c r="AF24" i="69"/>
  <c r="C24" i="69"/>
  <c r="AM23" i="69"/>
  <c r="AF23" i="69"/>
  <c r="T23" i="69"/>
  <c r="S23" i="69"/>
  <c r="N23" i="69"/>
  <c r="L23" i="69"/>
  <c r="H23" i="69"/>
  <c r="F23" i="69"/>
  <c r="D23" i="69"/>
  <c r="C23" i="69"/>
  <c r="AM22" i="69"/>
  <c r="AF22" i="69"/>
  <c r="T22" i="69"/>
  <c r="S22" i="69"/>
  <c r="N22" i="69"/>
  <c r="L22" i="69"/>
  <c r="H22" i="69"/>
  <c r="F22" i="69"/>
  <c r="D22" i="69"/>
  <c r="C22" i="69"/>
  <c r="AM21" i="69"/>
  <c r="AF21" i="69"/>
  <c r="T21" i="69"/>
  <c r="N21" i="69"/>
  <c r="C21" i="69"/>
  <c r="AG20" i="69"/>
  <c r="T20" i="69"/>
  <c r="S20" i="69"/>
  <c r="N20" i="69"/>
  <c r="L20" i="69"/>
  <c r="H20" i="69"/>
  <c r="F20" i="69"/>
  <c r="D20" i="69"/>
  <c r="AN19" i="69"/>
  <c r="AG19" i="69"/>
  <c r="Z19" i="69"/>
  <c r="Y19" i="69"/>
  <c r="X19" i="69"/>
  <c r="W19" i="69"/>
  <c r="V19" i="69"/>
  <c r="T19" i="69"/>
  <c r="S19" i="69"/>
  <c r="N19" i="69"/>
  <c r="L19" i="69"/>
  <c r="H19" i="69"/>
  <c r="F19" i="69"/>
  <c r="D19" i="69"/>
  <c r="AO18" i="69"/>
  <c r="AI18" i="69"/>
  <c r="Z18" i="69"/>
  <c r="Y18" i="69"/>
  <c r="X18" i="69"/>
  <c r="W18" i="69"/>
  <c r="V18" i="69"/>
  <c r="T18" i="69"/>
  <c r="S18" i="69"/>
  <c r="N18" i="69"/>
  <c r="L18" i="69"/>
  <c r="H18" i="69"/>
  <c r="F18" i="69"/>
  <c r="D18" i="69"/>
  <c r="AM17" i="69"/>
  <c r="AI17" i="69"/>
  <c r="AF17" i="69"/>
  <c r="Z17" i="69"/>
  <c r="Y17" i="69"/>
  <c r="X17" i="69"/>
  <c r="W17" i="69"/>
  <c r="V17" i="69"/>
  <c r="T17" i="69"/>
  <c r="S17" i="69"/>
  <c r="N17" i="69"/>
  <c r="L17" i="69"/>
  <c r="H17" i="69"/>
  <c r="F17" i="69"/>
  <c r="D17" i="69"/>
  <c r="AO16" i="69"/>
  <c r="AM16" i="69"/>
  <c r="AI16" i="69"/>
  <c r="AF16" i="69"/>
  <c r="Z16" i="69"/>
  <c r="Y16" i="69"/>
  <c r="X16" i="69"/>
  <c r="W16" i="69"/>
  <c r="V16" i="69"/>
  <c r="T16" i="69"/>
  <c r="S16" i="69"/>
  <c r="N16" i="69"/>
  <c r="L16" i="69"/>
  <c r="H16" i="69"/>
  <c r="F16" i="69"/>
  <c r="D16" i="69"/>
  <c r="AN15" i="69"/>
  <c r="AH15" i="69"/>
  <c r="Z15" i="69"/>
  <c r="Y15" i="69"/>
  <c r="X15" i="69"/>
  <c r="W15" i="69"/>
  <c r="V15" i="69"/>
  <c r="T15" i="69"/>
  <c r="S15" i="69"/>
  <c r="N15" i="69"/>
  <c r="L15" i="69"/>
  <c r="H15" i="69"/>
  <c r="F15" i="69"/>
  <c r="D15" i="69"/>
  <c r="AF14" i="69"/>
  <c r="Z14" i="69"/>
  <c r="Y14" i="69"/>
  <c r="X14" i="69"/>
  <c r="W14" i="69"/>
  <c r="V14" i="69"/>
  <c r="T14" i="69"/>
  <c r="S14" i="69"/>
  <c r="N14" i="69"/>
  <c r="L14" i="69"/>
  <c r="H14" i="69"/>
  <c r="F14" i="69"/>
  <c r="D14" i="69"/>
  <c r="AJ13" i="69"/>
  <c r="AI13" i="69"/>
  <c r="AH13" i="69"/>
  <c r="AG13" i="69"/>
  <c r="AF13" i="69"/>
  <c r="Z13" i="69"/>
  <c r="AJ12" i="69"/>
  <c r="AI12" i="69"/>
  <c r="AH12" i="69"/>
  <c r="AG12" i="69"/>
  <c r="AF12" i="69"/>
  <c r="AO10" i="69"/>
  <c r="AN10" i="69"/>
  <c r="AM10" i="69"/>
  <c r="B10" i="69"/>
  <c r="A10" i="69"/>
  <c r="Z9" i="69"/>
  <c r="Y9" i="69"/>
  <c r="X9" i="69"/>
  <c r="W9" i="69"/>
  <c r="V9" i="69"/>
  <c r="U9" i="69"/>
  <c r="T9" i="69"/>
  <c r="S9" i="69"/>
  <c r="R9" i="69"/>
  <c r="Q9" i="69"/>
  <c r="P9" i="69"/>
  <c r="O9" i="69"/>
  <c r="N9" i="69"/>
  <c r="M9" i="69"/>
  <c r="L9" i="69"/>
  <c r="K9" i="69"/>
  <c r="J9" i="69"/>
  <c r="I9" i="69"/>
  <c r="H9" i="69"/>
  <c r="G9" i="69"/>
  <c r="F9" i="69"/>
  <c r="E9" i="69"/>
  <c r="D9" i="69"/>
  <c r="B9" i="69"/>
  <c r="A9" i="69"/>
  <c r="T8" i="69"/>
  <c r="S8" i="69"/>
  <c r="R8" i="69"/>
  <c r="K8" i="69"/>
  <c r="D8" i="69"/>
  <c r="B8" i="69"/>
  <c r="A8" i="69"/>
  <c r="Y56" i="105"/>
  <c r="V56" i="105"/>
  <c r="Q56" i="105"/>
  <c r="X56" i="105"/>
  <c r="Y55" i="105"/>
  <c r="V55" i="105"/>
  <c r="Q55" i="105"/>
  <c r="X55" i="105"/>
  <c r="Y54" i="105"/>
  <c r="V54" i="105"/>
  <c r="Q54" i="105"/>
  <c r="S54" i="105"/>
  <c r="Y53" i="105"/>
  <c r="Q53" i="105"/>
  <c r="X53" i="105"/>
  <c r="B116" i="97"/>
  <c r="Q115" i="97"/>
  <c r="P115" i="97"/>
  <c r="N115" i="97"/>
  <c r="B115" i="97"/>
  <c r="R114" i="97"/>
  <c r="Q114" i="97"/>
  <c r="P114" i="97"/>
  <c r="N114" i="97"/>
  <c r="B114" i="97"/>
  <c r="P113" i="97"/>
  <c r="T110" i="97"/>
  <c r="R110" i="97"/>
  <c r="N110" i="97"/>
  <c r="O110" i="97"/>
  <c r="M110" i="97"/>
  <c r="D110" i="97"/>
  <c r="C110" i="97"/>
  <c r="V109" i="97"/>
  <c r="T109" i="97"/>
  <c r="R109" i="97"/>
  <c r="O109" i="97"/>
  <c r="M109" i="97"/>
  <c r="I109" i="97"/>
  <c r="F109" i="97"/>
  <c r="E109" i="97"/>
  <c r="D109" i="97"/>
  <c r="C109" i="97"/>
  <c r="V108" i="97"/>
  <c r="T108" i="97"/>
  <c r="R108" i="97"/>
  <c r="N108" i="97"/>
  <c r="O108" i="97"/>
  <c r="M108" i="97"/>
  <c r="I108" i="97"/>
  <c r="H108" i="97"/>
  <c r="G108" i="97"/>
  <c r="F108" i="97"/>
  <c r="E108" i="97"/>
  <c r="D108" i="97"/>
  <c r="C108" i="97"/>
  <c r="V107" i="97"/>
  <c r="T107" i="97"/>
  <c r="R107" i="97"/>
  <c r="N107" i="97"/>
  <c r="O107" i="97"/>
  <c r="M107" i="97"/>
  <c r="I107" i="97"/>
  <c r="H107" i="97"/>
  <c r="G107" i="97"/>
  <c r="F107" i="97"/>
  <c r="E107" i="97"/>
  <c r="D107" i="97"/>
  <c r="C107" i="97"/>
  <c r="B107" i="97"/>
  <c r="H106" i="97"/>
  <c r="T105" i="97"/>
  <c r="R105" i="97"/>
  <c r="N105" i="97"/>
  <c r="O105" i="97"/>
  <c r="M105" i="97"/>
  <c r="D105" i="97"/>
  <c r="C105" i="97"/>
  <c r="V104" i="97"/>
  <c r="T104" i="97"/>
  <c r="R104" i="97"/>
  <c r="O104" i="97"/>
  <c r="M104" i="97"/>
  <c r="I104" i="97"/>
  <c r="F104" i="97"/>
  <c r="E104" i="97"/>
  <c r="D104" i="97"/>
  <c r="C104" i="97"/>
  <c r="V103" i="97"/>
  <c r="T103" i="97"/>
  <c r="R103" i="97"/>
  <c r="N103" i="97"/>
  <c r="O103" i="97"/>
  <c r="M103" i="97"/>
  <c r="I103" i="97"/>
  <c r="H103" i="97"/>
  <c r="G103" i="97"/>
  <c r="F103" i="97"/>
  <c r="E103" i="97"/>
  <c r="D103" i="97"/>
  <c r="C103" i="97"/>
  <c r="V102" i="97"/>
  <c r="T102" i="97"/>
  <c r="R102" i="97"/>
  <c r="N102" i="97"/>
  <c r="O102" i="97"/>
  <c r="M102" i="97"/>
  <c r="I102" i="97"/>
  <c r="H102" i="97"/>
  <c r="G102" i="97"/>
  <c r="F102" i="97"/>
  <c r="E102" i="97"/>
  <c r="D102" i="97"/>
  <c r="C102" i="97"/>
  <c r="B102" i="97"/>
  <c r="V101" i="97"/>
  <c r="T101" i="97"/>
  <c r="R101" i="97"/>
  <c r="N101" i="97"/>
  <c r="O101" i="97"/>
  <c r="M101" i="97"/>
  <c r="I101" i="97"/>
  <c r="H101" i="97"/>
  <c r="G101" i="97"/>
  <c r="F101" i="97"/>
  <c r="E101" i="97"/>
  <c r="D101" i="97"/>
  <c r="C101" i="97"/>
  <c r="V100" i="97"/>
  <c r="T100" i="97"/>
  <c r="R100" i="97"/>
  <c r="P100" i="97"/>
  <c r="N100" i="97"/>
  <c r="O100" i="97"/>
  <c r="M100" i="97"/>
  <c r="I100" i="97"/>
  <c r="H100" i="97"/>
  <c r="G100" i="97"/>
  <c r="F100" i="97"/>
  <c r="E100" i="97"/>
  <c r="D100" i="97"/>
  <c r="C100" i="97"/>
  <c r="H99" i="97"/>
  <c r="T98" i="97"/>
  <c r="R98" i="97"/>
  <c r="N98" i="97"/>
  <c r="O98" i="97"/>
  <c r="M98" i="97"/>
  <c r="D98" i="97"/>
  <c r="C98" i="97"/>
  <c r="V97" i="97"/>
  <c r="T97" i="97"/>
  <c r="R97" i="97"/>
  <c r="O97" i="97"/>
  <c r="M97" i="97"/>
  <c r="I97" i="97"/>
  <c r="F97" i="97"/>
  <c r="E97" i="97"/>
  <c r="D97" i="97"/>
  <c r="C97" i="97"/>
  <c r="V96" i="97"/>
  <c r="T96" i="97"/>
  <c r="R96" i="97"/>
  <c r="N96" i="97"/>
  <c r="O96" i="97"/>
  <c r="M96" i="97"/>
  <c r="I96" i="97"/>
  <c r="H96" i="97"/>
  <c r="G96" i="97"/>
  <c r="F96" i="97"/>
  <c r="E96" i="97"/>
  <c r="D96" i="97"/>
  <c r="C96" i="97"/>
  <c r="V95" i="97"/>
  <c r="T95" i="97"/>
  <c r="R95" i="97"/>
  <c r="N95" i="97"/>
  <c r="O95" i="97"/>
  <c r="M95" i="97"/>
  <c r="I95" i="97"/>
  <c r="H95" i="97"/>
  <c r="G95" i="97"/>
  <c r="F95" i="97"/>
  <c r="E95" i="97"/>
  <c r="D95" i="97"/>
  <c r="C95" i="97"/>
  <c r="B95" i="97"/>
  <c r="V94" i="97"/>
  <c r="T94" i="97"/>
  <c r="R94" i="97"/>
  <c r="N94" i="97"/>
  <c r="O94" i="97"/>
  <c r="M94" i="97"/>
  <c r="I94" i="97"/>
  <c r="H94" i="97"/>
  <c r="G94" i="97"/>
  <c r="F94" i="97"/>
  <c r="E94" i="97"/>
  <c r="D94" i="97"/>
  <c r="C94" i="97"/>
  <c r="V93" i="97"/>
  <c r="T93" i="97"/>
  <c r="R93" i="97"/>
  <c r="N93" i="97"/>
  <c r="O93" i="97"/>
  <c r="M93" i="97"/>
  <c r="I93" i="97"/>
  <c r="H93" i="97"/>
  <c r="G93" i="97"/>
  <c r="F93" i="97"/>
  <c r="E93" i="97"/>
  <c r="D93" i="97"/>
  <c r="C93" i="97"/>
  <c r="V92" i="97"/>
  <c r="T92" i="97"/>
  <c r="R92" i="97"/>
  <c r="N92" i="97"/>
  <c r="O92" i="97"/>
  <c r="M92" i="97"/>
  <c r="I92" i="97"/>
  <c r="H92" i="97"/>
  <c r="G92" i="97"/>
  <c r="F92" i="97"/>
  <c r="E92" i="97"/>
  <c r="D92" i="97"/>
  <c r="C92" i="97"/>
  <c r="V91" i="97"/>
  <c r="T91" i="97"/>
  <c r="R91" i="97"/>
  <c r="P91" i="97"/>
  <c r="N91" i="97"/>
  <c r="O91" i="97"/>
  <c r="M91" i="97"/>
  <c r="I91" i="97"/>
  <c r="H91" i="97"/>
  <c r="G91" i="97"/>
  <c r="F91" i="97"/>
  <c r="E91" i="97"/>
  <c r="D91" i="97"/>
  <c r="C91" i="97"/>
  <c r="H90" i="97"/>
  <c r="T89" i="97"/>
  <c r="R89" i="97"/>
  <c r="N89" i="97"/>
  <c r="O89" i="97"/>
  <c r="M89" i="97"/>
  <c r="V88" i="97"/>
  <c r="T88" i="97"/>
  <c r="R88" i="97"/>
  <c r="O88" i="97"/>
  <c r="M88" i="97"/>
  <c r="I88" i="97"/>
  <c r="V87" i="97"/>
  <c r="T87" i="97"/>
  <c r="R87" i="97"/>
  <c r="N87" i="97"/>
  <c r="O87" i="97"/>
  <c r="M87" i="97"/>
  <c r="I87" i="97"/>
  <c r="H87" i="97"/>
  <c r="G87" i="97"/>
  <c r="V86" i="97"/>
  <c r="T86" i="97"/>
  <c r="R86" i="97"/>
  <c r="N86" i="97"/>
  <c r="O86" i="97"/>
  <c r="M86" i="97"/>
  <c r="I86" i="97"/>
  <c r="H86" i="97"/>
  <c r="G86" i="97"/>
  <c r="V85" i="97"/>
  <c r="T85" i="97"/>
  <c r="R85" i="97"/>
  <c r="P85" i="97"/>
  <c r="N85" i="97"/>
  <c r="O85" i="97"/>
  <c r="M85" i="97"/>
  <c r="I85" i="97"/>
  <c r="H85" i="97"/>
  <c r="G85" i="97"/>
  <c r="H84" i="97"/>
  <c r="U83" i="97"/>
  <c r="T83" i="97"/>
  <c r="R83" i="97"/>
  <c r="N83" i="97"/>
  <c r="O83" i="97"/>
  <c r="M83" i="97"/>
  <c r="I83" i="97"/>
  <c r="C83" i="97"/>
  <c r="T82" i="97"/>
  <c r="R82" i="97"/>
  <c r="O82" i="97"/>
  <c r="M82" i="97"/>
  <c r="I82" i="97"/>
  <c r="F82" i="97"/>
  <c r="E82" i="97"/>
  <c r="V81" i="97"/>
  <c r="T81" i="97"/>
  <c r="R81" i="97"/>
  <c r="N81" i="97"/>
  <c r="O81" i="97"/>
  <c r="M81" i="97"/>
  <c r="I81" i="97"/>
  <c r="H81" i="97"/>
  <c r="G81" i="97"/>
  <c r="D81" i="97"/>
  <c r="C81" i="97"/>
  <c r="V80" i="97"/>
  <c r="U80" i="97"/>
  <c r="T80" i="97"/>
  <c r="R80" i="97"/>
  <c r="N80" i="97"/>
  <c r="O80" i="97"/>
  <c r="M80" i="97"/>
  <c r="I80" i="97"/>
  <c r="H80" i="97"/>
  <c r="G80" i="97"/>
  <c r="F80" i="97"/>
  <c r="E80" i="97"/>
  <c r="D80" i="97"/>
  <c r="C80" i="97"/>
  <c r="V79" i="97"/>
  <c r="T79" i="97"/>
  <c r="R79" i="97"/>
  <c r="N79" i="97"/>
  <c r="O79" i="97"/>
  <c r="M79" i="97"/>
  <c r="I79" i="97"/>
  <c r="H79" i="97"/>
  <c r="G79" i="97"/>
  <c r="F79" i="97"/>
  <c r="E79" i="97"/>
  <c r="D79" i="97"/>
  <c r="C79" i="97"/>
  <c r="V78" i="97"/>
  <c r="T78" i="97"/>
  <c r="R78" i="97"/>
  <c r="N78" i="97"/>
  <c r="O78" i="97"/>
  <c r="M78" i="97"/>
  <c r="I78" i="97"/>
  <c r="H78" i="97"/>
  <c r="G78" i="97"/>
  <c r="F78" i="97"/>
  <c r="E78" i="97"/>
  <c r="D78" i="97"/>
  <c r="C78" i="97"/>
  <c r="V77" i="97"/>
  <c r="T77" i="97"/>
  <c r="R77" i="97"/>
  <c r="N77" i="97"/>
  <c r="O77" i="97"/>
  <c r="M77" i="97"/>
  <c r="I77" i="97"/>
  <c r="H77" i="97"/>
  <c r="G77" i="97"/>
  <c r="F77" i="97"/>
  <c r="E77" i="97"/>
  <c r="D77" i="97"/>
  <c r="C77" i="97"/>
  <c r="V76" i="97"/>
  <c r="T76" i="97"/>
  <c r="R76" i="97"/>
  <c r="P76" i="97"/>
  <c r="N76" i="97"/>
  <c r="O76" i="97"/>
  <c r="M76" i="97"/>
  <c r="I76" i="97"/>
  <c r="H76" i="97"/>
  <c r="G76" i="97"/>
  <c r="F76" i="97"/>
  <c r="E76" i="97"/>
  <c r="D76" i="97"/>
  <c r="C76" i="97"/>
  <c r="H75" i="97"/>
  <c r="T74" i="97"/>
  <c r="R74" i="97"/>
  <c r="N74" i="97"/>
  <c r="O74" i="97"/>
  <c r="M74" i="97"/>
  <c r="I74" i="97"/>
  <c r="F74" i="97"/>
  <c r="E74" i="97"/>
  <c r="C74" i="97"/>
  <c r="V73" i="97"/>
  <c r="U73" i="97"/>
  <c r="T73" i="97"/>
  <c r="R73" i="97"/>
  <c r="O73" i="97"/>
  <c r="M73" i="97"/>
  <c r="I73" i="97"/>
  <c r="G73" i="97"/>
  <c r="E73" i="97"/>
  <c r="C73" i="97"/>
  <c r="A73" i="97"/>
  <c r="W72" i="97"/>
  <c r="V72" i="97"/>
  <c r="U72" i="97"/>
  <c r="T72" i="97"/>
  <c r="R72" i="97"/>
  <c r="O72" i="97"/>
  <c r="M72" i="97"/>
  <c r="I72" i="97"/>
  <c r="H72" i="97"/>
  <c r="G72" i="97"/>
  <c r="E72" i="97"/>
  <c r="C72" i="97"/>
  <c r="A72" i="97"/>
  <c r="W71" i="97"/>
  <c r="V71" i="97"/>
  <c r="U71" i="97"/>
  <c r="T71" i="97"/>
  <c r="R71" i="97"/>
  <c r="O71" i="97"/>
  <c r="M71" i="97"/>
  <c r="I71" i="97"/>
  <c r="H71" i="97"/>
  <c r="G71" i="97"/>
  <c r="E71" i="97"/>
  <c r="C71" i="97"/>
  <c r="A71" i="97"/>
  <c r="W70" i="97"/>
  <c r="V70" i="97"/>
  <c r="U70" i="97"/>
  <c r="T70" i="97"/>
  <c r="R70" i="97"/>
  <c r="O70" i="97"/>
  <c r="M70" i="97"/>
  <c r="I70" i="97"/>
  <c r="H70" i="97"/>
  <c r="G70" i="97"/>
  <c r="E70" i="97"/>
  <c r="C70" i="97"/>
  <c r="A70" i="97"/>
  <c r="W69" i="97"/>
  <c r="V69" i="97"/>
  <c r="T69" i="97"/>
  <c r="R69" i="97"/>
  <c r="P69" i="97"/>
  <c r="N69" i="97"/>
  <c r="O69" i="97"/>
  <c r="M69" i="97"/>
  <c r="I69" i="97"/>
  <c r="H69" i="97"/>
  <c r="G69" i="97"/>
  <c r="E69" i="97"/>
  <c r="C69" i="97"/>
  <c r="A69" i="97"/>
  <c r="N68" i="97"/>
  <c r="H68" i="97"/>
  <c r="T67" i="97"/>
  <c r="R67" i="97"/>
  <c r="N67" i="97"/>
  <c r="O67" i="97"/>
  <c r="M67" i="97"/>
  <c r="D67" i="97"/>
  <c r="C67" i="97"/>
  <c r="V66" i="97"/>
  <c r="T66" i="97"/>
  <c r="R66" i="97"/>
  <c r="O66" i="97"/>
  <c r="M66" i="97"/>
  <c r="I66" i="97"/>
  <c r="F66" i="97"/>
  <c r="E66" i="97"/>
  <c r="D66" i="97"/>
  <c r="C66" i="97"/>
  <c r="V65" i="97"/>
  <c r="T65" i="97"/>
  <c r="R65" i="97"/>
  <c r="N65" i="97"/>
  <c r="O65" i="97"/>
  <c r="M65" i="97"/>
  <c r="I65" i="97"/>
  <c r="H65" i="97"/>
  <c r="G65" i="97"/>
  <c r="F65" i="97"/>
  <c r="E65" i="97"/>
  <c r="D65" i="97"/>
  <c r="C65" i="97"/>
  <c r="V64" i="97"/>
  <c r="T64" i="97"/>
  <c r="R64" i="97"/>
  <c r="N64" i="97"/>
  <c r="O64" i="97"/>
  <c r="M64" i="97"/>
  <c r="I64" i="97"/>
  <c r="H64" i="97"/>
  <c r="G64" i="97"/>
  <c r="F64" i="97"/>
  <c r="E64" i="97"/>
  <c r="D64" i="97"/>
  <c r="C64" i="97"/>
  <c r="V63" i="97"/>
  <c r="T63" i="97"/>
  <c r="R63" i="97"/>
  <c r="N63" i="97"/>
  <c r="O63" i="97"/>
  <c r="M63" i="97"/>
  <c r="I63" i="97"/>
  <c r="H63" i="97"/>
  <c r="G63" i="97"/>
  <c r="F63" i="97"/>
  <c r="E63" i="97"/>
  <c r="D63" i="97"/>
  <c r="C63" i="97"/>
  <c r="B63" i="97"/>
  <c r="V62" i="97"/>
  <c r="T62" i="97"/>
  <c r="R62" i="97"/>
  <c r="P62" i="97"/>
  <c r="N62" i="97"/>
  <c r="O62" i="97"/>
  <c r="M62" i="97"/>
  <c r="I62" i="97"/>
  <c r="H62" i="97"/>
  <c r="G62" i="97"/>
  <c r="F62" i="97"/>
  <c r="E62" i="97"/>
  <c r="D62" i="97"/>
  <c r="C62" i="97"/>
  <c r="H61" i="97"/>
  <c r="T60" i="97"/>
  <c r="R60" i="97"/>
  <c r="N60" i="97"/>
  <c r="O60" i="97"/>
  <c r="M60" i="97"/>
  <c r="D60" i="97"/>
  <c r="C60" i="97"/>
  <c r="V59" i="97"/>
  <c r="T59" i="97"/>
  <c r="R59" i="97"/>
  <c r="O59" i="97"/>
  <c r="M59" i="97"/>
  <c r="I59" i="97"/>
  <c r="F59" i="97"/>
  <c r="E59" i="97"/>
  <c r="D59" i="97"/>
  <c r="C59" i="97"/>
  <c r="V58" i="97"/>
  <c r="T58" i="97"/>
  <c r="R58" i="97"/>
  <c r="N58" i="97"/>
  <c r="O58" i="97"/>
  <c r="M58" i="97"/>
  <c r="I58" i="97"/>
  <c r="H58" i="97"/>
  <c r="G58" i="97"/>
  <c r="F58" i="97"/>
  <c r="E58" i="97"/>
  <c r="D58" i="97"/>
  <c r="C58" i="97"/>
  <c r="V57" i="97"/>
  <c r="T57" i="97"/>
  <c r="R57" i="97"/>
  <c r="N57" i="97"/>
  <c r="O57" i="97"/>
  <c r="M57" i="97"/>
  <c r="I57" i="97"/>
  <c r="H57" i="97"/>
  <c r="G57" i="97"/>
  <c r="F57" i="97"/>
  <c r="E57" i="97"/>
  <c r="D57" i="97"/>
  <c r="C57" i="97"/>
  <c r="B57" i="97"/>
  <c r="V56" i="97"/>
  <c r="T56" i="97"/>
  <c r="R56" i="97"/>
  <c r="N56" i="97"/>
  <c r="O56" i="97"/>
  <c r="M56" i="97"/>
  <c r="I56" i="97"/>
  <c r="H56" i="97"/>
  <c r="G56" i="97"/>
  <c r="F56" i="97"/>
  <c r="E56" i="97"/>
  <c r="D56" i="97"/>
  <c r="C56" i="97"/>
  <c r="V55" i="97"/>
  <c r="T55" i="97"/>
  <c r="R55" i="97"/>
  <c r="N55" i="97"/>
  <c r="O55" i="97"/>
  <c r="M55" i="97"/>
  <c r="I55" i="97"/>
  <c r="H55" i="97"/>
  <c r="G55" i="97"/>
  <c r="F55" i="97"/>
  <c r="E55" i="97"/>
  <c r="D55" i="97"/>
  <c r="C55" i="97"/>
  <c r="V54" i="97"/>
  <c r="T54" i="97"/>
  <c r="R54" i="97"/>
  <c r="N54" i="97"/>
  <c r="O54" i="97"/>
  <c r="M54" i="97"/>
  <c r="I54" i="97"/>
  <c r="H54" i="97"/>
  <c r="G54" i="97"/>
  <c r="F54" i="97"/>
  <c r="E54" i="97"/>
  <c r="D54" i="97"/>
  <c r="C54" i="97"/>
  <c r="V53" i="97"/>
  <c r="T53" i="97"/>
  <c r="R53" i="97"/>
  <c r="N53" i="97"/>
  <c r="O53" i="97"/>
  <c r="M53" i="97"/>
  <c r="I53" i="97"/>
  <c r="H53" i="97"/>
  <c r="G53" i="97"/>
  <c r="F53" i="97"/>
  <c r="E53" i="97"/>
  <c r="D53" i="97"/>
  <c r="C53" i="97"/>
  <c r="V52" i="97"/>
  <c r="T52" i="97"/>
  <c r="R52" i="97"/>
  <c r="P52" i="97"/>
  <c r="N52" i="97"/>
  <c r="O52" i="97"/>
  <c r="M52" i="97"/>
  <c r="I52" i="97"/>
  <c r="H52" i="97"/>
  <c r="G52" i="97"/>
  <c r="F52" i="97"/>
  <c r="E52" i="97"/>
  <c r="D52" i="97"/>
  <c r="C52" i="97"/>
  <c r="H51" i="97"/>
  <c r="U50" i="97"/>
  <c r="T50" i="97"/>
  <c r="O50" i="97"/>
  <c r="M50" i="97"/>
  <c r="V49" i="97"/>
  <c r="T49" i="97"/>
  <c r="O49" i="97"/>
  <c r="M49" i="97"/>
  <c r="V48" i="97"/>
  <c r="T48" i="97"/>
  <c r="N48" i="97"/>
  <c r="O48" i="97"/>
  <c r="M48" i="97"/>
  <c r="I48" i="97"/>
  <c r="H48" i="97"/>
  <c r="G48" i="97"/>
  <c r="V47" i="97"/>
  <c r="T47" i="97"/>
  <c r="P47" i="97"/>
  <c r="N47" i="97"/>
  <c r="O47" i="97"/>
  <c r="M47" i="97"/>
  <c r="I47" i="97"/>
  <c r="H47" i="97"/>
  <c r="G47" i="97"/>
  <c r="Q46" i="97"/>
  <c r="R49" i="97"/>
  <c r="H46" i="97"/>
  <c r="T45" i="97"/>
  <c r="M45" i="97"/>
  <c r="V44" i="97"/>
  <c r="T44" i="97"/>
  <c r="M44" i="97"/>
  <c r="I44" i="97"/>
  <c r="V43" i="97"/>
  <c r="T43" i="97"/>
  <c r="M43" i="97"/>
  <c r="I43" i="97"/>
  <c r="H43" i="97"/>
  <c r="G43" i="97"/>
  <c r="V42" i="97"/>
  <c r="T42" i="97"/>
  <c r="M42" i="97"/>
  <c r="I42" i="97"/>
  <c r="H42" i="97"/>
  <c r="G42" i="97"/>
  <c r="V41" i="97"/>
  <c r="T41" i="97"/>
  <c r="M41" i="97"/>
  <c r="I41" i="97"/>
  <c r="H41" i="97"/>
  <c r="G41" i="97"/>
  <c r="V40" i="97"/>
  <c r="T40" i="97"/>
  <c r="M40" i="97"/>
  <c r="I40" i="97"/>
  <c r="H40" i="97"/>
  <c r="G40" i="97"/>
  <c r="Q39" i="97"/>
  <c r="R44" i="97"/>
  <c r="H39" i="97"/>
  <c r="U38" i="97"/>
  <c r="T38" i="97"/>
  <c r="N38" i="97"/>
  <c r="O38" i="97"/>
  <c r="M38" i="97"/>
  <c r="T37" i="97"/>
  <c r="O37" i="97"/>
  <c r="M37" i="97"/>
  <c r="V36" i="97"/>
  <c r="T36" i="97"/>
  <c r="N36" i="97"/>
  <c r="O36" i="97"/>
  <c r="M36" i="97"/>
  <c r="I36" i="97"/>
  <c r="H36" i="97"/>
  <c r="G36" i="97"/>
  <c r="V35" i="97"/>
  <c r="U35" i="97"/>
  <c r="T35" i="97"/>
  <c r="N35" i="97"/>
  <c r="O35" i="97"/>
  <c r="M35" i="97"/>
  <c r="I35" i="97"/>
  <c r="H35" i="97"/>
  <c r="G35" i="97"/>
  <c r="V34" i="97"/>
  <c r="T34" i="97"/>
  <c r="N34" i="97"/>
  <c r="O34" i="97"/>
  <c r="M34" i="97"/>
  <c r="I34" i="97"/>
  <c r="H34" i="97"/>
  <c r="G34" i="97"/>
  <c r="V33" i="97"/>
  <c r="T33" i="97"/>
  <c r="N33" i="97"/>
  <c r="O33" i="97"/>
  <c r="M33" i="97"/>
  <c r="I33" i="97"/>
  <c r="H33" i="97"/>
  <c r="G33" i="97"/>
  <c r="V32" i="97"/>
  <c r="T32" i="97"/>
  <c r="N32" i="97"/>
  <c r="O32" i="97"/>
  <c r="M32" i="97"/>
  <c r="I32" i="97"/>
  <c r="H32" i="97"/>
  <c r="G32" i="97"/>
  <c r="V31" i="97"/>
  <c r="T31" i="97"/>
  <c r="N31" i="97"/>
  <c r="O31" i="97"/>
  <c r="M31" i="97"/>
  <c r="I31" i="97"/>
  <c r="H31" i="97"/>
  <c r="G31" i="97"/>
  <c r="Q30" i="97"/>
  <c r="R38" i="97"/>
  <c r="H30" i="97"/>
  <c r="T29" i="97"/>
  <c r="N29" i="97"/>
  <c r="O29" i="97"/>
  <c r="M29" i="97"/>
  <c r="V28" i="97"/>
  <c r="U28" i="97"/>
  <c r="T28" i="97"/>
  <c r="O28" i="97"/>
  <c r="M28" i="97"/>
  <c r="I28" i="97"/>
  <c r="H28" i="97"/>
  <c r="G28" i="97"/>
  <c r="A28" i="97"/>
  <c r="V27" i="97"/>
  <c r="T27" i="97"/>
  <c r="N27" i="97"/>
  <c r="U27" i="97"/>
  <c r="M27" i="97"/>
  <c r="I27" i="97"/>
  <c r="H27" i="97"/>
  <c r="G27" i="97"/>
  <c r="A27" i="97"/>
  <c r="V26" i="97"/>
  <c r="T26" i="97"/>
  <c r="N26" i="97"/>
  <c r="O26" i="97"/>
  <c r="M26" i="97"/>
  <c r="I26" i="97"/>
  <c r="H26" i="97"/>
  <c r="G26" i="97"/>
  <c r="E26" i="97"/>
  <c r="A26" i="97"/>
  <c r="V25" i="97"/>
  <c r="T25" i="97"/>
  <c r="N25" i="97"/>
  <c r="U25" i="97"/>
  <c r="M25" i="97"/>
  <c r="I25" i="97"/>
  <c r="H25" i="97"/>
  <c r="G25" i="97"/>
  <c r="E25" i="97"/>
  <c r="A25" i="97"/>
  <c r="V24" i="97"/>
  <c r="T24" i="97"/>
  <c r="N24" i="97"/>
  <c r="O24" i="97"/>
  <c r="M24" i="97"/>
  <c r="I24" i="97"/>
  <c r="H24" i="97"/>
  <c r="G24" i="97"/>
  <c r="E24" i="97"/>
  <c r="A24" i="97"/>
  <c r="V23" i="97"/>
  <c r="T23" i="97"/>
  <c r="P23" i="97"/>
  <c r="N23" i="97"/>
  <c r="U23" i="97"/>
  <c r="M23" i="97"/>
  <c r="I23" i="97"/>
  <c r="H23" i="97"/>
  <c r="G23" i="97"/>
  <c r="E23" i="97"/>
  <c r="A23" i="97"/>
  <c r="Q22" i="97"/>
  <c r="R26" i="97"/>
  <c r="I21" i="115"/>
  <c r="J21" i="115"/>
  <c r="P21" i="115"/>
  <c r="N22" i="97"/>
  <c r="H22" i="97"/>
  <c r="T21" i="97"/>
  <c r="N21" i="97"/>
  <c r="O21" i="97"/>
  <c r="M21" i="97"/>
  <c r="D21" i="97"/>
  <c r="C21" i="97"/>
  <c r="V20" i="97"/>
  <c r="T20" i="97"/>
  <c r="O20" i="97"/>
  <c r="M20" i="97"/>
  <c r="I20" i="97"/>
  <c r="F20" i="97"/>
  <c r="E20" i="97"/>
  <c r="D20" i="97"/>
  <c r="C20" i="97"/>
  <c r="V19" i="97"/>
  <c r="T19" i="97"/>
  <c r="N19" i="97"/>
  <c r="O19" i="97"/>
  <c r="M19" i="97"/>
  <c r="I19" i="97"/>
  <c r="H19" i="97"/>
  <c r="G19" i="97"/>
  <c r="F19" i="97"/>
  <c r="E19" i="97"/>
  <c r="D19" i="97"/>
  <c r="C19" i="97"/>
  <c r="V18" i="97"/>
  <c r="T18" i="97"/>
  <c r="N18" i="97"/>
  <c r="O18" i="97"/>
  <c r="M18" i="97"/>
  <c r="I18" i="97"/>
  <c r="H18" i="97"/>
  <c r="G18" i="97"/>
  <c r="F18" i="97"/>
  <c r="E18" i="97"/>
  <c r="D18" i="97"/>
  <c r="C18" i="97"/>
  <c r="V17" i="97"/>
  <c r="T17" i="97"/>
  <c r="N17" i="97"/>
  <c r="O17" i="97"/>
  <c r="M17" i="97"/>
  <c r="I17" i="97"/>
  <c r="H17" i="97"/>
  <c r="G17" i="97"/>
  <c r="F17" i="97"/>
  <c r="E17" i="97"/>
  <c r="D17" i="97"/>
  <c r="C17" i="97"/>
  <c r="B17" i="97"/>
  <c r="V16" i="97"/>
  <c r="T16" i="97"/>
  <c r="P16" i="97"/>
  <c r="N16" i="97"/>
  <c r="O16" i="97"/>
  <c r="M16" i="97"/>
  <c r="I16" i="97"/>
  <c r="H16" i="97"/>
  <c r="G16" i="97"/>
  <c r="F16" i="97"/>
  <c r="E16" i="97"/>
  <c r="D16" i="97"/>
  <c r="C16" i="97"/>
  <c r="Q15" i="97"/>
  <c r="R19" i="97"/>
  <c r="H15" i="97"/>
  <c r="T14" i="97"/>
  <c r="N14" i="97"/>
  <c r="O14" i="97"/>
  <c r="M14" i="97"/>
  <c r="D14" i="97"/>
  <c r="C14" i="97"/>
  <c r="V13" i="97"/>
  <c r="T13" i="97"/>
  <c r="O13" i="97"/>
  <c r="M13" i="97"/>
  <c r="I13" i="97"/>
  <c r="F13" i="97"/>
  <c r="E13" i="97"/>
  <c r="D13" i="97"/>
  <c r="C13" i="97"/>
  <c r="V12" i="97"/>
  <c r="T12" i="97"/>
  <c r="N12" i="97"/>
  <c r="O12" i="97"/>
  <c r="M12" i="97"/>
  <c r="I12" i="97"/>
  <c r="H12" i="97"/>
  <c r="G12" i="97"/>
  <c r="F12" i="97"/>
  <c r="E12" i="97"/>
  <c r="D12" i="97"/>
  <c r="C12" i="97"/>
  <c r="V11" i="97"/>
  <c r="T11" i="97"/>
  <c r="N11" i="97"/>
  <c r="O11" i="97"/>
  <c r="M11" i="97"/>
  <c r="I11" i="97"/>
  <c r="H11" i="97"/>
  <c r="G11" i="97"/>
  <c r="F11" i="97"/>
  <c r="E11" i="97"/>
  <c r="D11" i="97"/>
  <c r="C11" i="97"/>
  <c r="B11" i="97"/>
  <c r="V10" i="97"/>
  <c r="T10" i="97"/>
  <c r="N10" i="97"/>
  <c r="O10" i="97"/>
  <c r="M10" i="97"/>
  <c r="I10" i="97"/>
  <c r="H10" i="97"/>
  <c r="G10" i="97"/>
  <c r="F10" i="97"/>
  <c r="E10" i="97"/>
  <c r="D10" i="97"/>
  <c r="C10" i="97"/>
  <c r="V9" i="97"/>
  <c r="T9" i="97"/>
  <c r="N9" i="97"/>
  <c r="O9" i="97"/>
  <c r="M9" i="97"/>
  <c r="I9" i="97"/>
  <c r="H9" i="97"/>
  <c r="G9" i="97"/>
  <c r="F9" i="97"/>
  <c r="E9" i="97"/>
  <c r="D9" i="97"/>
  <c r="C9" i="97"/>
  <c r="V8" i="97"/>
  <c r="T8" i="97"/>
  <c r="N8" i="97"/>
  <c r="O8" i="97"/>
  <c r="M8" i="97"/>
  <c r="I8" i="97"/>
  <c r="H8" i="97"/>
  <c r="G8" i="97"/>
  <c r="F8" i="97"/>
  <c r="E8" i="97"/>
  <c r="D8" i="97"/>
  <c r="C8" i="97"/>
  <c r="V7" i="97"/>
  <c r="T7" i="97"/>
  <c r="N7" i="97"/>
  <c r="O7" i="97"/>
  <c r="M7" i="97"/>
  <c r="I7" i="97"/>
  <c r="H7" i="97"/>
  <c r="G7" i="97"/>
  <c r="F7" i="97"/>
  <c r="E7" i="97"/>
  <c r="D7" i="97"/>
  <c r="C7" i="97"/>
  <c r="V6" i="97"/>
  <c r="T6" i="97"/>
  <c r="P6" i="97"/>
  <c r="N6" i="97"/>
  <c r="O6" i="97"/>
  <c r="M6" i="97"/>
  <c r="I6" i="97"/>
  <c r="H6" i="97"/>
  <c r="G6" i="97"/>
  <c r="F6" i="97"/>
  <c r="E6" i="97"/>
  <c r="D6" i="97"/>
  <c r="C6" i="97"/>
  <c r="Q5" i="97"/>
  <c r="R11" i="97"/>
  <c r="H5" i="97"/>
  <c r="N45" i="115"/>
  <c r="J45" i="115"/>
  <c r="L45" i="115"/>
  <c r="H45" i="115"/>
  <c r="N44" i="115"/>
  <c r="N43" i="115"/>
  <c r="N42" i="115"/>
  <c r="I42" i="115"/>
  <c r="I41" i="115"/>
  <c r="N40" i="115"/>
  <c r="I40" i="115"/>
  <c r="N39" i="115"/>
  <c r="I39" i="115"/>
  <c r="M38" i="115"/>
  <c r="N37" i="115"/>
  <c r="M37" i="115"/>
  <c r="N36" i="115"/>
  <c r="M36" i="115"/>
  <c r="J36" i="115"/>
  <c r="L36" i="115"/>
  <c r="I36" i="115"/>
  <c r="M35" i="115"/>
  <c r="K35" i="115"/>
  <c r="N35" i="115"/>
  <c r="N34" i="115"/>
  <c r="J34" i="115"/>
  <c r="P34" i="115"/>
  <c r="N33" i="115"/>
  <c r="M33" i="115"/>
  <c r="K33" i="115"/>
  <c r="M32" i="115"/>
  <c r="K32" i="115"/>
  <c r="N31" i="115"/>
  <c r="M31" i="115"/>
  <c r="M30" i="115"/>
  <c r="K30" i="115"/>
  <c r="N30" i="115"/>
  <c r="M29" i="115"/>
  <c r="K29" i="115"/>
  <c r="M28" i="115"/>
  <c r="J28" i="115"/>
  <c r="P28" i="115"/>
  <c r="J27" i="115"/>
  <c r="K27" i="115"/>
  <c r="N26" i="115"/>
  <c r="M26" i="115"/>
  <c r="J25" i="115"/>
  <c r="L25" i="115"/>
  <c r="N24" i="115"/>
  <c r="H24" i="115"/>
  <c r="N23" i="115"/>
  <c r="H23" i="115"/>
  <c r="N22" i="115"/>
  <c r="M22" i="115"/>
  <c r="M21" i="115"/>
  <c r="M20" i="115"/>
  <c r="M19" i="115"/>
  <c r="N18" i="115"/>
  <c r="M18" i="115"/>
  <c r="N17" i="115"/>
  <c r="M17" i="115"/>
  <c r="P16" i="115"/>
  <c r="N16" i="115"/>
  <c r="M16" i="115"/>
  <c r="L16" i="115"/>
  <c r="N15" i="115"/>
  <c r="M15" i="115"/>
  <c r="N14" i="115"/>
  <c r="J13" i="115"/>
  <c r="L13" i="115"/>
  <c r="I13" i="115"/>
  <c r="J12" i="115"/>
  <c r="L12" i="115"/>
  <c r="N11" i="115"/>
  <c r="M11" i="115"/>
  <c r="H11" i="115"/>
  <c r="N10" i="115"/>
  <c r="M10" i="115"/>
  <c r="N9" i="115"/>
  <c r="M8" i="115"/>
  <c r="N7" i="115"/>
  <c r="M7" i="115"/>
  <c r="N6" i="115"/>
  <c r="M6" i="115"/>
  <c r="N5" i="115"/>
  <c r="M2" i="115"/>
  <c r="G2" i="115"/>
  <c r="T47" i="120"/>
  <c r="U47" i="120"/>
  <c r="T45" i="120"/>
  <c r="N45" i="120"/>
  <c r="O45" i="120"/>
  <c r="P39" i="120"/>
  <c r="P41" i="120"/>
  <c r="P42" i="120"/>
  <c r="P43" i="120"/>
  <c r="V45" i="120"/>
  <c r="V44" i="120"/>
  <c r="T44" i="120"/>
  <c r="T43" i="120"/>
  <c r="I43" i="120"/>
  <c r="H43" i="120"/>
  <c r="V42" i="120"/>
  <c r="T42" i="120"/>
  <c r="T41" i="120"/>
  <c r="V41" i="120"/>
  <c r="T40" i="120"/>
  <c r="Q39" i="120"/>
  <c r="R40" i="120"/>
  <c r="H39" i="120"/>
  <c r="T35" i="120"/>
  <c r="M35" i="120"/>
  <c r="O35" i="120"/>
  <c r="T33" i="120"/>
  <c r="U32" i="120"/>
  <c r="U33" i="120"/>
  <c r="T32" i="120"/>
  <c r="T31" i="120"/>
  <c r="U30" i="120"/>
  <c r="T30" i="120"/>
  <c r="T29" i="120"/>
  <c r="M29" i="120"/>
  <c r="N28" i="120"/>
  <c r="H28" i="120"/>
  <c r="T24" i="120"/>
  <c r="U22" i="120"/>
  <c r="U23" i="120"/>
  <c r="T22" i="120"/>
  <c r="V22" i="120"/>
  <c r="I22" i="120"/>
  <c r="H22" i="120"/>
  <c r="T21" i="120"/>
  <c r="H21" i="120"/>
  <c r="F21" i="120"/>
  <c r="U20" i="120"/>
  <c r="T20" i="120"/>
  <c r="D20" i="120"/>
  <c r="F20" i="120"/>
  <c r="T19" i="120"/>
  <c r="V19" i="120"/>
  <c r="I19" i="120"/>
  <c r="H19" i="120"/>
  <c r="D19" i="120"/>
  <c r="R20" i="120"/>
  <c r="H18" i="120"/>
  <c r="O15" i="120"/>
  <c r="T14" i="120"/>
  <c r="M14" i="120"/>
  <c r="O14" i="120"/>
  <c r="T12" i="120"/>
  <c r="M12" i="120"/>
  <c r="D12" i="120"/>
  <c r="T11" i="120"/>
  <c r="M11" i="120"/>
  <c r="T10" i="120"/>
  <c r="T13" i="120" s="1"/>
  <c r="M10" i="120"/>
  <c r="U9" i="120"/>
  <c r="U10" i="120"/>
  <c r="T9" i="120"/>
  <c r="M9" i="120"/>
  <c r="T8" i="120"/>
  <c r="M8" i="120"/>
  <c r="V7" i="120"/>
  <c r="U7" i="120"/>
  <c r="T7" i="120"/>
  <c r="M7" i="120"/>
  <c r="F7" i="120"/>
  <c r="T6" i="120"/>
  <c r="M6" i="120"/>
  <c r="R12" i="120"/>
  <c r="H5" i="120"/>
  <c r="G9" i="86"/>
  <c r="H8" i="86"/>
  <c r="R4" i="86"/>
  <c r="Q4" i="86"/>
  <c r="P4" i="86"/>
  <c r="O4" i="86"/>
  <c r="N4" i="86"/>
  <c r="M4" i="86"/>
  <c r="L4" i="86"/>
  <c r="K4" i="86"/>
  <c r="J4" i="86"/>
  <c r="I4" i="86"/>
  <c r="H4" i="86"/>
  <c r="G4" i="86"/>
  <c r="R569" i="79"/>
  <c r="O569" i="79"/>
  <c r="Q569" i="79"/>
  <c r="D569" i="79"/>
  <c r="R568" i="79"/>
  <c r="Q568" i="79"/>
  <c r="D568" i="79"/>
  <c r="Q567" i="79"/>
  <c r="P567" i="79"/>
  <c r="R567" i="79"/>
  <c r="D567" i="79"/>
  <c r="R566" i="79"/>
  <c r="Q566" i="79"/>
  <c r="D566" i="79"/>
  <c r="R565" i="79"/>
  <c r="Q565" i="79"/>
  <c r="D565" i="79"/>
  <c r="R564" i="79"/>
  <c r="Q564" i="79"/>
  <c r="P564" i="79"/>
  <c r="D564" i="79"/>
  <c r="R563" i="79"/>
  <c r="Q563" i="79"/>
  <c r="D563" i="79"/>
  <c r="R562" i="79"/>
  <c r="O562" i="79"/>
  <c r="Q562" i="79"/>
  <c r="D562" i="79"/>
  <c r="Q561" i="79"/>
  <c r="P561" i="79"/>
  <c r="R561" i="79"/>
  <c r="D561" i="79"/>
  <c r="R560" i="79"/>
  <c r="Q560" i="79"/>
  <c r="D560" i="79"/>
  <c r="R559" i="79"/>
  <c r="Q559" i="79"/>
  <c r="P559" i="79"/>
  <c r="D559" i="79"/>
  <c r="R558" i="79"/>
  <c r="Q558" i="79"/>
  <c r="D558" i="79"/>
  <c r="R557" i="79"/>
  <c r="Q557" i="79"/>
  <c r="D557" i="79"/>
  <c r="Q556" i="79"/>
  <c r="P556" i="79"/>
  <c r="R556" i="79"/>
  <c r="D556" i="79"/>
  <c r="R555" i="79"/>
  <c r="Q555" i="79"/>
  <c r="P555" i="79"/>
  <c r="D555" i="79"/>
  <c r="R554" i="79"/>
  <c r="Q554" i="79"/>
  <c r="D554" i="79"/>
  <c r="R553" i="79"/>
  <c r="O553" i="79"/>
  <c r="Q553" i="79"/>
  <c r="D553" i="79"/>
  <c r="R552" i="79"/>
  <c r="Q552" i="79"/>
  <c r="D552" i="79"/>
  <c r="R551" i="79"/>
  <c r="Q551" i="79"/>
  <c r="D551" i="79"/>
  <c r="R550" i="79"/>
  <c r="Q550" i="79"/>
  <c r="D550" i="79"/>
  <c r="R549" i="79"/>
  <c r="Q549" i="79"/>
  <c r="D549" i="79"/>
  <c r="Q548" i="79"/>
  <c r="P548" i="79"/>
  <c r="R548" i="79"/>
  <c r="D548" i="79"/>
  <c r="R547" i="79"/>
  <c r="Q547" i="79"/>
  <c r="D547" i="79"/>
  <c r="R546" i="79"/>
  <c r="Q546" i="79"/>
  <c r="D546" i="79"/>
  <c r="R545" i="79"/>
  <c r="Q545" i="79"/>
  <c r="D545" i="79"/>
  <c r="Q544" i="79"/>
  <c r="P544" i="79"/>
  <c r="R544" i="79"/>
  <c r="D544" i="79"/>
  <c r="R543" i="79"/>
  <c r="Q543" i="79"/>
  <c r="D543" i="79"/>
  <c r="R542" i="79"/>
  <c r="Q542" i="79"/>
  <c r="D542" i="79"/>
  <c r="R541" i="79"/>
  <c r="O541" i="79"/>
  <c r="Q541" i="79"/>
  <c r="D541" i="79"/>
  <c r="R540" i="79"/>
  <c r="Q540" i="79"/>
  <c r="P540" i="79"/>
  <c r="D540" i="79"/>
  <c r="Q539" i="79"/>
  <c r="P539" i="79"/>
  <c r="R539" i="79"/>
  <c r="D539" i="79"/>
  <c r="R538" i="79"/>
  <c r="Q538" i="79"/>
  <c r="P538" i="79"/>
  <c r="D538" i="79"/>
  <c r="Q537" i="79"/>
  <c r="P537" i="79"/>
  <c r="R537" i="79"/>
  <c r="D537" i="79"/>
  <c r="R536" i="79"/>
  <c r="Q536" i="79"/>
  <c r="D536" i="79"/>
  <c r="Q535" i="79"/>
  <c r="P535" i="79"/>
  <c r="R535" i="79"/>
  <c r="D535" i="79"/>
  <c r="R534" i="79"/>
  <c r="Q534" i="79"/>
  <c r="D534" i="79"/>
  <c r="R533" i="79"/>
  <c r="O533" i="79"/>
  <c r="Q533" i="79"/>
  <c r="D533" i="79"/>
  <c r="R532" i="79"/>
  <c r="Q532" i="79"/>
  <c r="D532" i="79"/>
  <c r="R531" i="79"/>
  <c r="Q531" i="79"/>
  <c r="D531" i="79"/>
  <c r="Q530" i="79"/>
  <c r="P530" i="79"/>
  <c r="R530" i="79"/>
  <c r="D530" i="79"/>
  <c r="R529" i="79"/>
  <c r="Q529" i="79"/>
  <c r="D529" i="79"/>
  <c r="R528" i="79"/>
  <c r="Q528" i="79"/>
  <c r="D528" i="79"/>
  <c r="R527" i="79"/>
  <c r="Q527" i="79"/>
  <c r="O527" i="79"/>
  <c r="D527" i="79"/>
  <c r="R526" i="79"/>
  <c r="O526" i="79"/>
  <c r="Q526" i="79"/>
  <c r="D526" i="79"/>
  <c r="R525" i="79"/>
  <c r="Q525" i="79"/>
  <c r="D525" i="79"/>
  <c r="R524" i="79"/>
  <c r="O524" i="79"/>
  <c r="Q524" i="79"/>
  <c r="D524" i="79"/>
  <c r="R523" i="79"/>
  <c r="Q523" i="79"/>
  <c r="D523" i="79"/>
  <c r="R522" i="79"/>
  <c r="Q522" i="79"/>
  <c r="D522" i="79"/>
  <c r="R521" i="79"/>
  <c r="Q521" i="79"/>
  <c r="D521" i="79"/>
  <c r="R520" i="79"/>
  <c r="Q520" i="79"/>
  <c r="P520" i="79"/>
  <c r="D520" i="79"/>
  <c r="Q519" i="79"/>
  <c r="P519" i="79"/>
  <c r="R519" i="79"/>
  <c r="D519" i="79"/>
  <c r="R518" i="79"/>
  <c r="Q518" i="79"/>
  <c r="D518" i="79"/>
  <c r="R517" i="79"/>
  <c r="O517" i="79"/>
  <c r="Q517" i="79"/>
  <c r="D517" i="79"/>
  <c r="Q516" i="79"/>
  <c r="P516" i="79"/>
  <c r="R516" i="79"/>
  <c r="D516" i="79"/>
  <c r="Q515" i="79"/>
  <c r="P515" i="79"/>
  <c r="R515" i="79"/>
  <c r="D515" i="79"/>
  <c r="R514" i="79"/>
  <c r="Q514" i="79"/>
  <c r="D514" i="79"/>
  <c r="R513" i="79"/>
  <c r="Q513" i="79"/>
  <c r="D513" i="79"/>
  <c r="R512" i="79"/>
  <c r="Q512" i="79"/>
  <c r="D512" i="79"/>
  <c r="R511" i="79"/>
  <c r="Q511" i="79"/>
  <c r="D511" i="79"/>
  <c r="R510" i="79"/>
  <c r="Q510" i="79"/>
  <c r="D510" i="79"/>
  <c r="R509" i="79"/>
  <c r="Q509" i="79"/>
  <c r="D509" i="79"/>
  <c r="R508" i="79"/>
  <c r="Q508" i="79"/>
  <c r="D508" i="79"/>
  <c r="Q507" i="79"/>
  <c r="P507" i="79"/>
  <c r="R507" i="79"/>
  <c r="D507" i="79"/>
  <c r="R506" i="79"/>
  <c r="Q506" i="79"/>
  <c r="D506" i="79"/>
  <c r="R505" i="79"/>
  <c r="O505" i="79"/>
  <c r="Q505" i="79"/>
  <c r="D505" i="79"/>
  <c r="R504" i="79"/>
  <c r="Q504" i="79"/>
  <c r="D504" i="79"/>
  <c r="R503" i="79"/>
  <c r="Q503" i="79"/>
  <c r="O503" i="79"/>
  <c r="D503" i="79"/>
  <c r="R502" i="79"/>
  <c r="O502" i="79"/>
  <c r="Q502" i="79"/>
  <c r="D502" i="79"/>
  <c r="R501" i="79"/>
  <c r="Q501" i="79"/>
  <c r="P501" i="79"/>
  <c r="D501" i="79"/>
  <c r="R500" i="79"/>
  <c r="Q500" i="79"/>
  <c r="D500" i="79"/>
  <c r="R499" i="79"/>
  <c r="Q499" i="79"/>
  <c r="O499" i="79"/>
  <c r="D499" i="79"/>
  <c r="R498" i="79"/>
  <c r="Q498" i="79"/>
  <c r="D498" i="79"/>
  <c r="R497" i="79"/>
  <c r="Q497" i="79"/>
  <c r="P497" i="79"/>
  <c r="D497" i="79"/>
  <c r="Q496" i="79"/>
  <c r="P496" i="79"/>
  <c r="R496" i="79"/>
  <c r="D496" i="79"/>
  <c r="R495" i="79"/>
  <c r="Q495" i="79"/>
  <c r="P495" i="79"/>
  <c r="D495" i="79"/>
  <c r="Q494" i="79"/>
  <c r="P494" i="79"/>
  <c r="R494" i="79"/>
  <c r="D494" i="79"/>
  <c r="R493" i="79"/>
  <c r="Q493" i="79"/>
  <c r="D493" i="79"/>
  <c r="R492" i="79"/>
  <c r="Q492" i="79"/>
  <c r="D492" i="79"/>
  <c r="R491" i="79"/>
  <c r="Q491" i="79"/>
  <c r="D491" i="79"/>
  <c r="R490" i="79"/>
  <c r="Q490" i="79"/>
  <c r="O490" i="79"/>
  <c r="D490" i="79"/>
  <c r="R489" i="79"/>
  <c r="Q489" i="79"/>
  <c r="D489" i="79"/>
  <c r="R488" i="79"/>
  <c r="Q488" i="79"/>
  <c r="P488" i="79"/>
  <c r="D488" i="79"/>
  <c r="R487" i="79"/>
  <c r="Q487" i="79"/>
  <c r="D487" i="79"/>
  <c r="Q486" i="79"/>
  <c r="P486" i="79"/>
  <c r="R486" i="79"/>
  <c r="D486" i="79"/>
  <c r="Q485" i="79"/>
  <c r="P485" i="79"/>
  <c r="R485" i="79"/>
  <c r="D485" i="79"/>
  <c r="R484" i="79"/>
  <c r="Q484" i="79"/>
  <c r="D484" i="79"/>
  <c r="R483" i="79"/>
  <c r="Q483" i="79"/>
  <c r="D483" i="79"/>
  <c r="R482" i="79"/>
  <c r="Q482" i="79"/>
  <c r="D482" i="79"/>
  <c r="R481" i="79"/>
  <c r="Q481" i="79"/>
  <c r="P481" i="79"/>
  <c r="D481" i="79"/>
  <c r="R480" i="79"/>
  <c r="O480" i="79"/>
  <c r="Q480" i="79"/>
  <c r="D480" i="79"/>
  <c r="R479" i="79"/>
  <c r="Q479" i="79"/>
  <c r="D479" i="79"/>
  <c r="Q478" i="79"/>
  <c r="P478" i="79"/>
  <c r="R478" i="79"/>
  <c r="D478" i="79"/>
  <c r="R477" i="79"/>
  <c r="Q477" i="79"/>
  <c r="D477" i="79"/>
  <c r="R476" i="79"/>
  <c r="Q476" i="79"/>
  <c r="P476" i="79"/>
  <c r="D476" i="79"/>
  <c r="R475" i="79"/>
  <c r="O475" i="79"/>
  <c r="Q475" i="79"/>
  <c r="D475" i="79"/>
  <c r="R474" i="79"/>
  <c r="Q474" i="79"/>
  <c r="P474" i="79"/>
  <c r="D474" i="79"/>
  <c r="Q473" i="79"/>
  <c r="P473" i="79"/>
  <c r="R473" i="79"/>
  <c r="D473" i="79"/>
  <c r="R472" i="79"/>
  <c r="Q472" i="79"/>
  <c r="P472" i="79"/>
  <c r="D472" i="79"/>
  <c r="R471" i="79"/>
  <c r="Q471" i="79"/>
  <c r="D471" i="79"/>
  <c r="R470" i="79"/>
  <c r="Q470" i="79"/>
  <c r="D470" i="79"/>
  <c r="Q469" i="79"/>
  <c r="P469" i="79"/>
  <c r="R469" i="79"/>
  <c r="D469" i="79"/>
  <c r="R468" i="79"/>
  <c r="Q468" i="79"/>
  <c r="D468" i="79"/>
  <c r="Q467" i="79"/>
  <c r="P467" i="79"/>
  <c r="R467" i="79"/>
  <c r="D467" i="79"/>
  <c r="R466" i="79"/>
  <c r="O466" i="79"/>
  <c r="Q466" i="79"/>
  <c r="D466" i="79"/>
  <c r="R465" i="79"/>
  <c r="Q465" i="79"/>
  <c r="D465" i="79"/>
  <c r="Q464" i="79"/>
  <c r="P464" i="79"/>
  <c r="R464" i="79"/>
  <c r="D464" i="79"/>
  <c r="R463" i="79"/>
  <c r="Q463" i="79"/>
  <c r="D463" i="79"/>
  <c r="R462" i="79"/>
  <c r="Q462" i="79"/>
  <c r="D462" i="79"/>
  <c r="R461" i="79"/>
  <c r="Q461" i="79"/>
  <c r="D461" i="79"/>
  <c r="R460" i="79"/>
  <c r="Q460" i="79"/>
  <c r="D460" i="79"/>
  <c r="R459" i="79"/>
  <c r="Q459" i="79"/>
  <c r="D459" i="79"/>
  <c r="R458" i="79"/>
  <c r="Q458" i="79"/>
  <c r="D458" i="79"/>
  <c r="R457" i="79"/>
  <c r="Q457" i="79"/>
  <c r="D457" i="79"/>
  <c r="R456" i="79"/>
  <c r="Q456" i="79"/>
  <c r="D456" i="79"/>
  <c r="R455" i="79"/>
  <c r="Q455" i="79"/>
  <c r="D455" i="79"/>
  <c r="Q454" i="79"/>
  <c r="P454" i="79"/>
  <c r="R454" i="79"/>
  <c r="D454" i="79"/>
  <c r="R453" i="79"/>
  <c r="Q453" i="79"/>
  <c r="O453" i="79"/>
  <c r="D453" i="79"/>
  <c r="Q452" i="79"/>
  <c r="P452" i="79"/>
  <c r="R452" i="79"/>
  <c r="D452" i="79"/>
  <c r="R451" i="79"/>
  <c r="Q451" i="79"/>
  <c r="D451" i="79"/>
  <c r="R450" i="79"/>
  <c r="Q450" i="79"/>
  <c r="D450" i="79"/>
  <c r="R449" i="79"/>
  <c r="Q449" i="79"/>
  <c r="D449" i="79"/>
  <c r="R448" i="79"/>
  <c r="Q448" i="79"/>
  <c r="P448" i="79"/>
  <c r="D448" i="79"/>
  <c r="Q447" i="79"/>
  <c r="P447" i="79"/>
  <c r="R447" i="79"/>
  <c r="D447" i="79"/>
  <c r="R446" i="79"/>
  <c r="Q446" i="79"/>
  <c r="P446" i="79"/>
  <c r="D446" i="79"/>
  <c r="R445" i="79"/>
  <c r="O445" i="79"/>
  <c r="Q445" i="79"/>
  <c r="D445" i="79"/>
  <c r="R444" i="79"/>
  <c r="Q444" i="79"/>
  <c r="D444" i="79"/>
  <c r="R443" i="79"/>
  <c r="Q443" i="79"/>
  <c r="D443" i="79"/>
  <c r="R442" i="79"/>
  <c r="Q442" i="79"/>
  <c r="P442" i="79"/>
  <c r="D442" i="79"/>
  <c r="Q441" i="79"/>
  <c r="P441" i="79"/>
  <c r="R441" i="79"/>
  <c r="D441" i="79"/>
  <c r="R440" i="79"/>
  <c r="Q440" i="79"/>
  <c r="P440" i="79"/>
  <c r="D440" i="79"/>
  <c r="Q439" i="79"/>
  <c r="P439" i="79"/>
  <c r="R439" i="79"/>
  <c r="D439" i="79"/>
  <c r="R438" i="79"/>
  <c r="Q438" i="79"/>
  <c r="O438" i="79"/>
  <c r="D438" i="79"/>
  <c r="R437" i="79"/>
  <c r="Q437" i="79"/>
  <c r="D437" i="79"/>
  <c r="R436" i="79"/>
  <c r="Q436" i="79"/>
  <c r="D436" i="79"/>
  <c r="R435" i="79"/>
  <c r="Q435" i="79"/>
  <c r="D435" i="79"/>
  <c r="R434" i="79"/>
  <c r="Q434" i="79"/>
  <c r="D434" i="79"/>
  <c r="R433" i="79"/>
  <c r="Q433" i="79"/>
  <c r="D433" i="79"/>
  <c r="R432" i="79"/>
  <c r="Q432" i="79"/>
  <c r="D432" i="79"/>
  <c r="Q431" i="79"/>
  <c r="P431" i="79"/>
  <c r="R431" i="79"/>
  <c r="D431" i="79"/>
  <c r="R430" i="79"/>
  <c r="Q430" i="79"/>
  <c r="P430" i="79"/>
  <c r="D430" i="79"/>
  <c r="Q429" i="79"/>
  <c r="P429" i="79"/>
  <c r="R429" i="79"/>
  <c r="D429" i="79"/>
  <c r="R428" i="79"/>
  <c r="Q428" i="79"/>
  <c r="O428" i="79"/>
  <c r="D428" i="79"/>
  <c r="R427" i="79"/>
  <c r="Q427" i="79"/>
  <c r="D427" i="79"/>
  <c r="R426" i="79"/>
  <c r="Q426" i="79"/>
  <c r="O426" i="79"/>
  <c r="D426" i="79"/>
  <c r="Q425" i="79"/>
  <c r="P425" i="79"/>
  <c r="R425" i="79"/>
  <c r="D425" i="79"/>
  <c r="R424" i="79"/>
  <c r="Q424" i="79"/>
  <c r="P424" i="79"/>
  <c r="D424" i="79"/>
  <c r="R423" i="79"/>
  <c r="Q423" i="79"/>
  <c r="D423" i="79"/>
  <c r="R422" i="79"/>
  <c r="Q422" i="79"/>
  <c r="D422" i="79"/>
  <c r="R421" i="79"/>
  <c r="Q421" i="79"/>
  <c r="D421" i="79"/>
  <c r="R420" i="79"/>
  <c r="Q420" i="79"/>
  <c r="D420" i="79"/>
  <c r="R419" i="79"/>
  <c r="Q419" i="79"/>
  <c r="D419" i="79"/>
  <c r="R418" i="79"/>
  <c r="Q418" i="79"/>
  <c r="D418" i="79"/>
  <c r="R417" i="79"/>
  <c r="Q417" i="79"/>
  <c r="D417" i="79"/>
  <c r="R416" i="79"/>
  <c r="Q416" i="79"/>
  <c r="P416" i="79"/>
  <c r="D416" i="79"/>
  <c r="R415" i="79"/>
  <c r="Q415" i="79"/>
  <c r="D415" i="79"/>
  <c r="R414" i="79"/>
  <c r="Q414" i="79"/>
  <c r="D414" i="79"/>
  <c r="Q413" i="79"/>
  <c r="P413" i="79"/>
  <c r="R413" i="79"/>
  <c r="D413" i="79"/>
  <c r="R412" i="79"/>
  <c r="Q412" i="79"/>
  <c r="O412" i="79"/>
  <c r="D412" i="79"/>
  <c r="R411" i="79"/>
  <c r="Q411" i="79"/>
  <c r="D411" i="79"/>
  <c r="R410" i="79"/>
  <c r="Q410" i="79"/>
  <c r="D410" i="79"/>
  <c r="R409" i="79"/>
  <c r="Q409" i="79"/>
  <c r="D409" i="79"/>
  <c r="R408" i="79"/>
  <c r="Q408" i="79"/>
  <c r="D408" i="79"/>
  <c r="R407" i="79"/>
  <c r="Q407" i="79"/>
  <c r="D407" i="79"/>
  <c r="R406" i="79"/>
  <c r="Q406" i="79"/>
  <c r="D406" i="79"/>
  <c r="R405" i="79"/>
  <c r="Q405" i="79"/>
  <c r="D405" i="79"/>
  <c r="R404" i="79"/>
  <c r="Q404" i="79"/>
  <c r="D404" i="79"/>
  <c r="Q403" i="79"/>
  <c r="P403" i="79"/>
  <c r="R403" i="79"/>
  <c r="D403" i="79"/>
  <c r="R402" i="79"/>
  <c r="Q402" i="79"/>
  <c r="P402" i="79"/>
  <c r="D402" i="79"/>
  <c r="R401" i="79"/>
  <c r="O401" i="79"/>
  <c r="Q401" i="79"/>
  <c r="D401" i="79"/>
  <c r="R400" i="79"/>
  <c r="Q400" i="79"/>
  <c r="D400" i="79"/>
  <c r="R399" i="79"/>
  <c r="Q399" i="79"/>
  <c r="D399" i="79"/>
  <c r="R398" i="79"/>
  <c r="Q398" i="79"/>
  <c r="D398" i="79"/>
  <c r="R397" i="79"/>
  <c r="Q397" i="79"/>
  <c r="P397" i="79"/>
  <c r="D397" i="79"/>
  <c r="Q396" i="79"/>
  <c r="P396" i="79"/>
  <c r="R396" i="79"/>
  <c r="D396" i="79"/>
  <c r="R395" i="79"/>
  <c r="Q395" i="79"/>
  <c r="D395" i="79"/>
  <c r="R394" i="79"/>
  <c r="O394" i="79"/>
  <c r="Q394" i="79"/>
  <c r="D394" i="79"/>
  <c r="R393" i="79"/>
  <c r="Q393" i="79"/>
  <c r="D393" i="79"/>
  <c r="R392" i="79"/>
  <c r="Q392" i="79"/>
  <c r="D392" i="79"/>
  <c r="R391" i="79"/>
  <c r="O391" i="79"/>
  <c r="Q391" i="79"/>
  <c r="D391" i="79"/>
  <c r="R390" i="79"/>
  <c r="Q390" i="79"/>
  <c r="D390" i="79"/>
  <c r="R389" i="79"/>
  <c r="Q389" i="79"/>
  <c r="D389" i="79"/>
  <c r="R388" i="79"/>
  <c r="Q388" i="79"/>
  <c r="P388" i="79"/>
  <c r="D388" i="79"/>
  <c r="Q387" i="79"/>
  <c r="P387" i="79"/>
  <c r="R387" i="79"/>
  <c r="D387" i="79"/>
  <c r="R386" i="79"/>
  <c r="Q386" i="79"/>
  <c r="O386" i="79"/>
  <c r="D386" i="79"/>
  <c r="R385" i="79"/>
  <c r="Q385" i="79"/>
  <c r="D385" i="79"/>
  <c r="R384" i="79"/>
  <c r="Q384" i="79"/>
  <c r="D384" i="79"/>
  <c r="R383" i="79"/>
  <c r="Q383" i="79"/>
  <c r="P383" i="79"/>
  <c r="D383" i="79"/>
  <c r="R382" i="79"/>
  <c r="Q382" i="79"/>
  <c r="D382" i="79"/>
  <c r="R381" i="79"/>
  <c r="Q381" i="79"/>
  <c r="D381" i="79"/>
  <c r="Q380" i="79"/>
  <c r="P380" i="79"/>
  <c r="R380" i="79"/>
  <c r="D380" i="79"/>
  <c r="R379" i="79"/>
  <c r="Q379" i="79"/>
  <c r="P379" i="79"/>
  <c r="D379" i="79"/>
  <c r="Q378" i="79"/>
  <c r="P378" i="79"/>
  <c r="R378" i="79"/>
  <c r="D378" i="79"/>
  <c r="R377" i="79"/>
  <c r="Q377" i="79"/>
  <c r="P377" i="79"/>
  <c r="D377" i="79"/>
  <c r="R376" i="79"/>
  <c r="O376" i="79"/>
  <c r="Q376" i="79"/>
  <c r="D376" i="79"/>
  <c r="R375" i="79"/>
  <c r="Q375" i="79"/>
  <c r="D375" i="79"/>
  <c r="R374" i="79"/>
  <c r="O374" i="79"/>
  <c r="Q374" i="79"/>
  <c r="D374" i="79"/>
  <c r="R373" i="79"/>
  <c r="Q373" i="79"/>
  <c r="D373" i="79"/>
  <c r="R372" i="79"/>
  <c r="Q372" i="79"/>
  <c r="D372" i="79"/>
  <c r="R371" i="79"/>
  <c r="Q371" i="79"/>
  <c r="D371" i="79"/>
  <c r="R370" i="79"/>
  <c r="Q370" i="79"/>
  <c r="D370" i="79"/>
  <c r="R369" i="79"/>
  <c r="Q369" i="79"/>
  <c r="D369" i="79"/>
  <c r="R368" i="79"/>
  <c r="Q368" i="79"/>
  <c r="D368" i="79"/>
  <c r="R367" i="79"/>
  <c r="Q367" i="79"/>
  <c r="D367" i="79"/>
  <c r="R366" i="79"/>
  <c r="Q366" i="79"/>
  <c r="D366" i="79"/>
  <c r="R365" i="79"/>
  <c r="Q365" i="79"/>
  <c r="D365" i="79"/>
  <c r="R364" i="79"/>
  <c r="Q364" i="79"/>
  <c r="D364" i="79"/>
  <c r="R363" i="79"/>
  <c r="O363" i="79"/>
  <c r="Q363" i="79"/>
  <c r="D363" i="79"/>
  <c r="R362" i="79"/>
  <c r="Q362" i="79"/>
  <c r="D362" i="79"/>
  <c r="R361" i="79"/>
  <c r="Q361" i="79"/>
  <c r="D361" i="79"/>
  <c r="R360" i="79"/>
  <c r="Q360" i="79"/>
  <c r="D360" i="79"/>
  <c r="R359" i="79"/>
  <c r="Q359" i="79"/>
  <c r="D359" i="79"/>
  <c r="Q358" i="79"/>
  <c r="P358" i="79"/>
  <c r="R358" i="79"/>
  <c r="D358" i="79"/>
  <c r="R357" i="79"/>
  <c r="Q357" i="79"/>
  <c r="D357" i="79"/>
  <c r="R356" i="79"/>
  <c r="Q356" i="79"/>
  <c r="D356" i="79"/>
  <c r="Q355" i="79"/>
  <c r="P355" i="79"/>
  <c r="R355" i="79"/>
  <c r="D355" i="79"/>
  <c r="R354" i="79"/>
  <c r="O354" i="79"/>
  <c r="Q354" i="79"/>
  <c r="D354" i="79"/>
  <c r="R353" i="79"/>
  <c r="Q353" i="79"/>
  <c r="D353" i="79"/>
  <c r="R352" i="79"/>
  <c r="Q352" i="79"/>
  <c r="P352" i="79"/>
  <c r="D352" i="79"/>
  <c r="R351" i="79"/>
  <c r="Q351" i="79"/>
  <c r="D351" i="79"/>
  <c r="R350" i="79"/>
  <c r="Q350" i="79"/>
  <c r="D350" i="79"/>
  <c r="Q349" i="79"/>
  <c r="P349" i="79"/>
  <c r="R349" i="79"/>
  <c r="D349" i="79"/>
  <c r="R348" i="79"/>
  <c r="Q348" i="79"/>
  <c r="P348" i="79"/>
  <c r="D348" i="79"/>
  <c r="Q347" i="79"/>
  <c r="P347" i="79"/>
  <c r="R347" i="79"/>
  <c r="D347" i="79"/>
  <c r="R346" i="79"/>
  <c r="Q346" i="79"/>
  <c r="O346" i="79"/>
  <c r="D346" i="79"/>
  <c r="R345" i="79"/>
  <c r="Q345" i="79"/>
  <c r="D345" i="79"/>
  <c r="R344" i="79"/>
  <c r="Q344" i="79"/>
  <c r="D344" i="79"/>
  <c r="R343" i="79"/>
  <c r="Q343" i="79"/>
  <c r="D343" i="79"/>
  <c r="R342" i="79"/>
  <c r="Q342" i="79"/>
  <c r="D342" i="79"/>
  <c r="R341" i="79"/>
  <c r="Q341" i="79"/>
  <c r="D341" i="79"/>
  <c r="Q340" i="79"/>
  <c r="P340" i="79"/>
  <c r="R340" i="79"/>
  <c r="D340" i="79"/>
  <c r="R339" i="79"/>
  <c r="O339" i="79"/>
  <c r="Q339" i="79"/>
  <c r="D339" i="79"/>
  <c r="R338" i="79"/>
  <c r="O338" i="79"/>
  <c r="Q338" i="79"/>
  <c r="D338" i="79"/>
  <c r="R337" i="79"/>
  <c r="Q337" i="79"/>
  <c r="D337" i="79"/>
  <c r="R336" i="79"/>
  <c r="Q336" i="79"/>
  <c r="D336" i="79"/>
  <c r="R335" i="79"/>
  <c r="Q335" i="79"/>
  <c r="D335" i="79"/>
  <c r="R334" i="79"/>
  <c r="Q334" i="79"/>
  <c r="P334" i="79"/>
  <c r="D334" i="79"/>
  <c r="Q333" i="79"/>
  <c r="P333" i="79"/>
  <c r="R333" i="79"/>
  <c r="D333" i="79"/>
  <c r="R332" i="79"/>
  <c r="Q332" i="79"/>
  <c r="O332" i="79"/>
  <c r="D332" i="79"/>
  <c r="R331" i="79"/>
  <c r="Q331" i="79"/>
  <c r="D331" i="79"/>
  <c r="R330" i="79"/>
  <c r="Q330" i="79"/>
  <c r="D330" i="79"/>
  <c r="R329" i="79"/>
  <c r="Q329" i="79"/>
  <c r="P329" i="79"/>
  <c r="D329" i="79"/>
  <c r="Q328" i="79"/>
  <c r="P328" i="79"/>
  <c r="R328" i="79"/>
  <c r="D328" i="79"/>
  <c r="R327" i="79"/>
  <c r="Q327" i="79"/>
  <c r="P327" i="79"/>
  <c r="D327" i="79"/>
  <c r="Q326" i="79"/>
  <c r="P326" i="79"/>
  <c r="R326" i="79"/>
  <c r="D326" i="79"/>
  <c r="R325" i="79"/>
  <c r="Q325" i="79"/>
  <c r="O325" i="79"/>
  <c r="D325" i="79"/>
  <c r="R324" i="79"/>
  <c r="Q324" i="79"/>
  <c r="D324" i="79"/>
  <c r="R323" i="79"/>
  <c r="Q323" i="79"/>
  <c r="D323" i="79"/>
  <c r="R322" i="79"/>
  <c r="Q322" i="79"/>
  <c r="D322" i="79"/>
  <c r="R321" i="79"/>
  <c r="Q321" i="79"/>
  <c r="D321" i="79"/>
  <c r="R320" i="79"/>
  <c r="Q320" i="79"/>
  <c r="D320" i="79"/>
  <c r="R319" i="79"/>
  <c r="Q319" i="79"/>
  <c r="D319" i="79"/>
  <c r="R318" i="79"/>
  <c r="Q318" i="79"/>
  <c r="P318" i="79"/>
  <c r="D318" i="79"/>
  <c r="Q317" i="79"/>
  <c r="P317" i="79"/>
  <c r="R317" i="79"/>
  <c r="D317" i="79"/>
  <c r="R316" i="79"/>
  <c r="Q316" i="79"/>
  <c r="P316" i="79"/>
  <c r="D316" i="79"/>
  <c r="R315" i="79"/>
  <c r="O315" i="79"/>
  <c r="Q315" i="79"/>
  <c r="D315" i="79"/>
  <c r="R314" i="79"/>
  <c r="Q314" i="79"/>
  <c r="D314" i="79"/>
  <c r="R313" i="79"/>
  <c r="Q313" i="79"/>
  <c r="D313" i="79"/>
  <c r="Q312" i="79"/>
  <c r="P312" i="79"/>
  <c r="R312" i="79"/>
  <c r="D312" i="79"/>
  <c r="R311" i="79"/>
  <c r="Q311" i="79"/>
  <c r="P311" i="79"/>
  <c r="D311" i="79"/>
  <c r="R310" i="79"/>
  <c r="O310" i="79"/>
  <c r="N8" i="79"/>
  <c r="D310" i="79"/>
  <c r="R309" i="79"/>
  <c r="Q309" i="79"/>
  <c r="D309" i="79"/>
  <c r="R308" i="79"/>
  <c r="Q308" i="79"/>
  <c r="D308" i="79"/>
  <c r="R307" i="79"/>
  <c r="Q307" i="79"/>
  <c r="D307" i="79"/>
  <c r="Q306" i="79"/>
  <c r="P306" i="79"/>
  <c r="R306" i="79"/>
  <c r="D306" i="79"/>
  <c r="Q305" i="79"/>
  <c r="P305" i="79"/>
  <c r="R305" i="79"/>
  <c r="D305" i="79"/>
  <c r="Q304" i="79"/>
  <c r="P304" i="79"/>
  <c r="R304" i="79"/>
  <c r="D304" i="79"/>
  <c r="R303" i="79"/>
  <c r="O303" i="79"/>
  <c r="Q303" i="79"/>
  <c r="D303" i="79"/>
  <c r="R302" i="79"/>
  <c r="Q302" i="79"/>
  <c r="D302" i="79"/>
  <c r="R301" i="79"/>
  <c r="Q301" i="79"/>
  <c r="D301" i="79"/>
  <c r="R300" i="79"/>
  <c r="Q300" i="79"/>
  <c r="D300" i="79"/>
  <c r="R299" i="79"/>
  <c r="Q299" i="79"/>
  <c r="D299" i="79"/>
  <c r="R298" i="79"/>
  <c r="Q298" i="79"/>
  <c r="D298" i="79"/>
  <c r="R297" i="79"/>
  <c r="Q297" i="79"/>
  <c r="D297" i="79"/>
  <c r="R296" i="79"/>
  <c r="Q296" i="79"/>
  <c r="D296" i="79"/>
  <c r="R295" i="79"/>
  <c r="Q295" i="79"/>
  <c r="D295" i="79"/>
  <c r="R294" i="79"/>
  <c r="Q294" i="79"/>
  <c r="D294" i="79"/>
  <c r="R293" i="79"/>
  <c r="Q293" i="79"/>
  <c r="D293" i="79"/>
  <c r="R292" i="79"/>
  <c r="Q292" i="79"/>
  <c r="D292" i="79"/>
  <c r="R291" i="79"/>
  <c r="Q291" i="79"/>
  <c r="D291" i="79"/>
  <c r="R290" i="79"/>
  <c r="Q290" i="79"/>
  <c r="D290" i="79"/>
  <c r="R289" i="79"/>
  <c r="Q289" i="79"/>
  <c r="D289" i="79"/>
  <c r="R288" i="79"/>
  <c r="Q288" i="79"/>
  <c r="D288" i="79"/>
  <c r="R287" i="79"/>
  <c r="Q287" i="79"/>
  <c r="D287" i="79"/>
  <c r="R286" i="79"/>
  <c r="Q286" i="79"/>
  <c r="D286" i="79"/>
  <c r="Q285" i="79"/>
  <c r="P285" i="79"/>
  <c r="R285" i="79"/>
  <c r="D285" i="79"/>
  <c r="R284" i="79"/>
  <c r="Q284" i="79"/>
  <c r="P284" i="79"/>
  <c r="D284" i="79"/>
  <c r="R283" i="79"/>
  <c r="O283" i="79"/>
  <c r="Q283" i="79"/>
  <c r="D283" i="79"/>
  <c r="R282" i="79"/>
  <c r="Q282" i="79"/>
  <c r="D282" i="79"/>
  <c r="R281" i="79"/>
  <c r="Q281" i="79"/>
  <c r="D281" i="79"/>
  <c r="R280" i="79"/>
  <c r="Q280" i="79"/>
  <c r="D280" i="79"/>
  <c r="R279" i="79"/>
  <c r="Q279" i="79"/>
  <c r="D279" i="79"/>
  <c r="R278" i="79"/>
  <c r="Q278" i="79"/>
  <c r="D278" i="79"/>
  <c r="R277" i="79"/>
  <c r="Q277" i="79"/>
  <c r="D277" i="79"/>
  <c r="Q276" i="79"/>
  <c r="P276" i="79"/>
  <c r="R276" i="79"/>
  <c r="D276" i="79"/>
  <c r="R275" i="79"/>
  <c r="Q275" i="79"/>
  <c r="O275" i="79"/>
  <c r="D275" i="79"/>
  <c r="R274" i="79"/>
  <c r="Q274" i="79"/>
  <c r="D274" i="79"/>
  <c r="R273" i="79"/>
  <c r="Q273" i="79"/>
  <c r="D273" i="79"/>
  <c r="R272" i="79"/>
  <c r="Q272" i="79"/>
  <c r="D272" i="79"/>
  <c r="Q271" i="79"/>
  <c r="P271" i="79"/>
  <c r="R271" i="79"/>
  <c r="D271" i="79"/>
  <c r="R270" i="79"/>
  <c r="Q270" i="79"/>
  <c r="P270" i="79"/>
  <c r="D270" i="79"/>
  <c r="Q269" i="79"/>
  <c r="P269" i="79"/>
  <c r="R269" i="79"/>
  <c r="D269" i="79"/>
  <c r="R268" i="79"/>
  <c r="Q268" i="79"/>
  <c r="O268" i="79"/>
  <c r="D268" i="79"/>
  <c r="R267" i="79"/>
  <c r="Q267" i="79"/>
  <c r="D267" i="79"/>
  <c r="R266" i="79"/>
  <c r="Q266" i="79"/>
  <c r="D266" i="79"/>
  <c r="R265" i="79"/>
  <c r="Q265" i="79"/>
  <c r="D265" i="79"/>
  <c r="R264" i="79"/>
  <c r="Q264" i="79"/>
  <c r="D264" i="79"/>
  <c r="R263" i="79"/>
  <c r="Q263" i="79"/>
  <c r="P263" i="79"/>
  <c r="D263" i="79"/>
  <c r="R262" i="79"/>
  <c r="Q262" i="79"/>
  <c r="D262" i="79"/>
  <c r="R261" i="79"/>
  <c r="Q261" i="79"/>
  <c r="D261" i="79"/>
  <c r="R260" i="79"/>
  <c r="Q260" i="79"/>
  <c r="D260" i="79"/>
  <c r="R259" i="79"/>
  <c r="O259" i="79"/>
  <c r="Q259" i="79"/>
  <c r="D259" i="79"/>
  <c r="R258" i="79"/>
  <c r="Q258" i="79"/>
  <c r="D258" i="79"/>
  <c r="R257" i="79"/>
  <c r="Q257" i="79"/>
  <c r="D257" i="79"/>
  <c r="R256" i="79"/>
  <c r="Q256" i="79"/>
  <c r="P256" i="79"/>
  <c r="D256" i="79"/>
  <c r="Q255" i="79"/>
  <c r="P255" i="79"/>
  <c r="R255" i="79"/>
  <c r="D255" i="79"/>
  <c r="R254" i="79"/>
  <c r="Q254" i="79"/>
  <c r="D254" i="79"/>
  <c r="R253" i="79"/>
  <c r="Q253" i="79"/>
  <c r="D253" i="79"/>
  <c r="R252" i="79"/>
  <c r="Q252" i="79"/>
  <c r="D252" i="79"/>
  <c r="R251" i="79"/>
  <c r="Q251" i="79"/>
  <c r="D251" i="79"/>
  <c r="R250" i="79"/>
  <c r="Q250" i="79"/>
  <c r="D250" i="79"/>
  <c r="R249" i="79"/>
  <c r="Q249" i="79"/>
  <c r="D249" i="79"/>
  <c r="R248" i="79"/>
  <c r="Q248" i="79"/>
  <c r="D248" i="79"/>
  <c r="R247" i="79"/>
  <c r="Q247" i="79"/>
  <c r="D247" i="79"/>
  <c r="R246" i="79"/>
  <c r="Q246" i="79"/>
  <c r="D246" i="79"/>
  <c r="Q245" i="79"/>
  <c r="P245" i="79"/>
  <c r="R245" i="79"/>
  <c r="D245" i="79"/>
  <c r="Q244" i="79"/>
  <c r="P244" i="79"/>
  <c r="R244" i="79"/>
  <c r="D244" i="79"/>
  <c r="Q243" i="79"/>
  <c r="P243" i="79"/>
  <c r="R243" i="79"/>
  <c r="D243" i="79"/>
  <c r="R242" i="79"/>
  <c r="Q242" i="79"/>
  <c r="D242" i="79"/>
  <c r="R241" i="79"/>
  <c r="O241" i="79"/>
  <c r="Q241" i="79"/>
  <c r="D241" i="79"/>
  <c r="R240" i="79"/>
  <c r="Q240" i="79"/>
  <c r="D240" i="79"/>
  <c r="R239" i="79"/>
  <c r="Q239" i="79"/>
  <c r="D239" i="79"/>
  <c r="R238" i="79"/>
  <c r="Q238" i="79"/>
  <c r="D238" i="79"/>
  <c r="R237" i="79"/>
  <c r="Q237" i="79"/>
  <c r="D237" i="79"/>
  <c r="R236" i="79"/>
  <c r="Q236" i="79"/>
  <c r="D236" i="79"/>
  <c r="R235" i="79"/>
  <c r="Q235" i="79"/>
  <c r="D235" i="79"/>
  <c r="R234" i="79"/>
  <c r="Q234" i="79"/>
  <c r="D234" i="79"/>
  <c r="R233" i="79"/>
  <c r="Q233" i="79"/>
  <c r="D233" i="79"/>
  <c r="Q232" i="79"/>
  <c r="P232" i="79"/>
  <c r="R232" i="79"/>
  <c r="D232" i="79"/>
  <c r="R231" i="79"/>
  <c r="Q231" i="79"/>
  <c r="P231" i="79"/>
  <c r="D231" i="79"/>
  <c r="R230" i="79"/>
  <c r="O230" i="79"/>
  <c r="Q230" i="79"/>
  <c r="D230" i="79"/>
  <c r="R229" i="79"/>
  <c r="Q229" i="79"/>
  <c r="D229" i="79"/>
  <c r="Q228" i="79"/>
  <c r="P228" i="79"/>
  <c r="R228" i="79"/>
  <c r="D228" i="79"/>
  <c r="R227" i="79"/>
  <c r="Q227" i="79"/>
  <c r="D227" i="79"/>
  <c r="R226" i="79"/>
  <c r="Q226" i="79"/>
  <c r="D226" i="79"/>
  <c r="R225" i="79"/>
  <c r="Q225" i="79"/>
  <c r="D225" i="79"/>
  <c r="R224" i="79"/>
  <c r="Q224" i="79"/>
  <c r="D224" i="79"/>
  <c r="Q223" i="79"/>
  <c r="P223" i="79"/>
  <c r="R223" i="79"/>
  <c r="D223" i="79"/>
  <c r="R222" i="79"/>
  <c r="Q222" i="79"/>
  <c r="D222" i="79"/>
  <c r="R221" i="79"/>
  <c r="Q221" i="79"/>
  <c r="D221" i="79"/>
  <c r="Q220" i="79"/>
  <c r="P220" i="79"/>
  <c r="R220" i="79"/>
  <c r="D220" i="79"/>
  <c r="Q219" i="79"/>
  <c r="P219" i="79"/>
  <c r="R219" i="79"/>
  <c r="D219" i="79"/>
  <c r="R218" i="79"/>
  <c r="Q218" i="79"/>
  <c r="D218" i="79"/>
  <c r="R217" i="79"/>
  <c r="O217" i="79"/>
  <c r="Q217" i="79"/>
  <c r="D217" i="79"/>
  <c r="R216" i="79"/>
  <c r="Q216" i="79"/>
  <c r="D216" i="79"/>
  <c r="R215" i="79"/>
  <c r="Q215" i="79"/>
  <c r="D215" i="79"/>
  <c r="R214" i="79"/>
  <c r="Q214" i="79"/>
  <c r="D214" i="79"/>
  <c r="R213" i="79"/>
  <c r="Q213" i="79"/>
  <c r="D213" i="79"/>
  <c r="R212" i="79"/>
  <c r="Q212" i="79"/>
  <c r="D212" i="79"/>
  <c r="R211" i="79"/>
  <c r="Q211" i="79"/>
  <c r="D211" i="79"/>
  <c r="R210" i="79"/>
  <c r="Q210" i="79"/>
  <c r="D210" i="79"/>
  <c r="R209" i="79"/>
  <c r="Q209" i="79"/>
  <c r="D209" i="79"/>
  <c r="R208" i="79"/>
  <c r="Q208" i="79"/>
  <c r="D208" i="79"/>
  <c r="R207" i="79"/>
  <c r="Q207" i="79"/>
  <c r="D207" i="79"/>
  <c r="Q206" i="79"/>
  <c r="P206" i="79"/>
  <c r="R206" i="79"/>
  <c r="D206" i="79"/>
  <c r="R205" i="79"/>
  <c r="Q205" i="79"/>
  <c r="P205" i="79"/>
  <c r="D205" i="79"/>
  <c r="R204" i="79"/>
  <c r="O204" i="79"/>
  <c r="Q204" i="79"/>
  <c r="D204" i="79"/>
  <c r="R203" i="79"/>
  <c r="Q203" i="79"/>
  <c r="D203" i="79"/>
  <c r="R202" i="79"/>
  <c r="Q202" i="79"/>
  <c r="D202" i="79"/>
  <c r="Q201" i="79"/>
  <c r="P201" i="79"/>
  <c r="R201" i="79"/>
  <c r="D201" i="79"/>
  <c r="R200" i="79"/>
  <c r="Q200" i="79"/>
  <c r="D200" i="79"/>
  <c r="R199" i="79"/>
  <c r="O199" i="79"/>
  <c r="Q199" i="79"/>
  <c r="D199" i="79"/>
  <c r="R198" i="79"/>
  <c r="Q198" i="79"/>
  <c r="D198" i="79"/>
  <c r="R197" i="79"/>
  <c r="Q197" i="79"/>
  <c r="D197" i="79"/>
  <c r="R196" i="79"/>
  <c r="Q196" i="79"/>
  <c r="D196" i="79"/>
  <c r="R195" i="79"/>
  <c r="Q195" i="79"/>
  <c r="D195" i="79"/>
  <c r="Q194" i="79"/>
  <c r="P194" i="79"/>
  <c r="R194" i="79"/>
  <c r="D194" i="79"/>
  <c r="R193" i="79"/>
  <c r="Q193" i="79"/>
  <c r="P193" i="79"/>
  <c r="D193" i="79"/>
  <c r="R192" i="79"/>
  <c r="Q192" i="79"/>
  <c r="D192" i="79"/>
  <c r="R191" i="79"/>
  <c r="Q191" i="79"/>
  <c r="O191" i="79"/>
  <c r="D191" i="79"/>
  <c r="R190" i="79"/>
  <c r="O190" i="79"/>
  <c r="Q190" i="79"/>
  <c r="D190" i="79"/>
  <c r="R189" i="79"/>
  <c r="Q189" i="79"/>
  <c r="D189" i="79"/>
  <c r="R188" i="79"/>
  <c r="Q188" i="79"/>
  <c r="D188" i="79"/>
  <c r="R187" i="79"/>
  <c r="Q187" i="79"/>
  <c r="D187" i="79"/>
  <c r="R186" i="79"/>
  <c r="Q186" i="79"/>
  <c r="D186" i="79"/>
  <c r="R185" i="79"/>
  <c r="Q185" i="79"/>
  <c r="D185" i="79"/>
  <c r="R184" i="79"/>
  <c r="Q184" i="79"/>
  <c r="D184" i="79"/>
  <c r="R183" i="79"/>
  <c r="Q183" i="79"/>
  <c r="D183" i="79"/>
  <c r="R182" i="79"/>
  <c r="Q182" i="79"/>
  <c r="D182" i="79"/>
  <c r="R181" i="79"/>
  <c r="Q181" i="79"/>
  <c r="D181" i="79"/>
  <c r="Q180" i="79"/>
  <c r="P180" i="79"/>
  <c r="R180" i="79"/>
  <c r="D180" i="79"/>
  <c r="Q179" i="79"/>
  <c r="P179" i="79"/>
  <c r="R179" i="79"/>
  <c r="D179" i="79"/>
  <c r="R178" i="79"/>
  <c r="O178" i="79"/>
  <c r="Q178" i="79"/>
  <c r="D178" i="79"/>
  <c r="Q177" i="79"/>
  <c r="P177" i="79"/>
  <c r="R177" i="79"/>
  <c r="D177" i="79"/>
  <c r="R176" i="79"/>
  <c r="Q176" i="79"/>
  <c r="D176" i="79"/>
  <c r="R175" i="79"/>
  <c r="Q175" i="79"/>
  <c r="D175" i="79"/>
  <c r="R174" i="79"/>
  <c r="Q174" i="79"/>
  <c r="D174" i="79"/>
  <c r="R173" i="79"/>
  <c r="Q173" i="79"/>
  <c r="D173" i="79"/>
  <c r="Q172" i="79"/>
  <c r="P172" i="79"/>
  <c r="R172" i="79"/>
  <c r="D172" i="79"/>
  <c r="Q171" i="79"/>
  <c r="P171" i="79"/>
  <c r="R171" i="79"/>
  <c r="D171" i="79"/>
  <c r="R170" i="79"/>
  <c r="Q170" i="79"/>
  <c r="D170" i="79"/>
  <c r="R169" i="79"/>
  <c r="Q169" i="79"/>
  <c r="O169" i="79"/>
  <c r="D169" i="79"/>
  <c r="R168" i="79"/>
  <c r="Q168" i="79"/>
  <c r="D168" i="79"/>
  <c r="R167" i="79"/>
  <c r="Q167" i="79"/>
  <c r="D167" i="79"/>
  <c r="R166" i="79"/>
  <c r="Q166" i="79"/>
  <c r="D166" i="79"/>
  <c r="R165" i="79"/>
  <c r="Q165" i="79"/>
  <c r="D165" i="79"/>
  <c r="R164" i="79"/>
  <c r="Q164" i="79"/>
  <c r="D164" i="79"/>
  <c r="Q163" i="79"/>
  <c r="P163" i="79"/>
  <c r="R163" i="79"/>
  <c r="D163" i="79"/>
  <c r="R162" i="79"/>
  <c r="Q162" i="79"/>
  <c r="O162" i="79"/>
  <c r="D162" i="79"/>
  <c r="R161" i="79"/>
  <c r="Q161" i="79"/>
  <c r="D161" i="79"/>
  <c r="R160" i="79"/>
  <c r="Q160" i="79"/>
  <c r="D160" i="79"/>
  <c r="R159" i="79"/>
  <c r="Q159" i="79"/>
  <c r="D159" i="79"/>
  <c r="R158" i="79"/>
  <c r="Q158" i="79"/>
  <c r="D158" i="79"/>
  <c r="R157" i="79"/>
  <c r="Q157" i="79"/>
  <c r="D157" i="79"/>
  <c r="R156" i="79"/>
  <c r="Q156" i="79"/>
  <c r="D156" i="79"/>
  <c r="R155" i="79"/>
  <c r="Q155" i="79"/>
  <c r="D155" i="79"/>
  <c r="R154" i="79"/>
  <c r="Q154" i="79"/>
  <c r="D154" i="79"/>
  <c r="R153" i="79"/>
  <c r="Q153" i="79"/>
  <c r="D153" i="79"/>
  <c r="R152" i="79"/>
  <c r="Q152" i="79"/>
  <c r="D152" i="79"/>
  <c r="R151" i="79"/>
  <c r="Q151" i="79"/>
  <c r="D151" i="79"/>
  <c r="R150" i="79"/>
  <c r="Q150" i="79"/>
  <c r="D150" i="79"/>
  <c r="R149" i="79"/>
  <c r="Q149" i="79"/>
  <c r="P149" i="79"/>
  <c r="D149" i="79"/>
  <c r="Q148" i="79"/>
  <c r="P148" i="79"/>
  <c r="R148" i="79"/>
  <c r="D148" i="79"/>
  <c r="R147" i="79"/>
  <c r="Q147" i="79"/>
  <c r="P147" i="79"/>
  <c r="D147" i="79"/>
  <c r="R146" i="79"/>
  <c r="Q146" i="79"/>
  <c r="D146" i="79"/>
  <c r="R145" i="79"/>
  <c r="Q145" i="79"/>
  <c r="O145" i="79"/>
  <c r="D145" i="79"/>
  <c r="R144" i="79"/>
  <c r="Q144" i="79"/>
  <c r="D144" i="79"/>
  <c r="R143" i="79"/>
  <c r="Q143" i="79"/>
  <c r="D143" i="79"/>
  <c r="R142" i="79"/>
  <c r="Q142" i="79"/>
  <c r="D142" i="79"/>
  <c r="R141" i="79"/>
  <c r="Q141" i="79"/>
  <c r="D141" i="79"/>
  <c r="R140" i="79"/>
  <c r="Q140" i="79"/>
  <c r="D140" i="79"/>
  <c r="R139" i="79"/>
  <c r="Q139" i="79"/>
  <c r="D139" i="79"/>
  <c r="Q138" i="79"/>
  <c r="P138" i="79"/>
  <c r="R138" i="79"/>
  <c r="D138" i="79"/>
  <c r="R137" i="79"/>
  <c r="Q137" i="79"/>
  <c r="D137" i="79"/>
  <c r="Q136" i="79"/>
  <c r="P136" i="79"/>
  <c r="R136" i="79"/>
  <c r="D136" i="79"/>
  <c r="R135" i="79"/>
  <c r="Q135" i="79"/>
  <c r="O135" i="79"/>
  <c r="D135" i="79"/>
  <c r="Q134" i="79"/>
  <c r="P134" i="79"/>
  <c r="R134" i="79"/>
  <c r="D134" i="79"/>
  <c r="R133" i="79"/>
  <c r="Q133" i="79"/>
  <c r="D133" i="79"/>
  <c r="R132" i="79"/>
  <c r="Q132" i="79"/>
  <c r="D132" i="79"/>
  <c r="R131" i="79"/>
  <c r="Q131" i="79"/>
  <c r="D131" i="79"/>
  <c r="R130" i="79"/>
  <c r="Q130" i="79"/>
  <c r="D130" i="79"/>
  <c r="R129" i="79"/>
  <c r="Q129" i="79"/>
  <c r="D129" i="79"/>
  <c r="R128" i="79"/>
  <c r="Q128" i="79"/>
  <c r="D128" i="79"/>
  <c r="R127" i="79"/>
  <c r="Q127" i="79"/>
  <c r="D127" i="79"/>
  <c r="R126" i="79"/>
  <c r="Q126" i="79"/>
  <c r="D126" i="79"/>
  <c r="R125" i="79"/>
  <c r="Q125" i="79"/>
  <c r="D125" i="79"/>
  <c r="R124" i="79"/>
  <c r="Q124" i="79"/>
  <c r="D124" i="79"/>
  <c r="R123" i="79"/>
  <c r="Q123" i="79"/>
  <c r="D123" i="79"/>
  <c r="R122" i="79"/>
  <c r="Q122" i="79"/>
  <c r="D122" i="79"/>
  <c r="Q121" i="79"/>
  <c r="P121" i="79"/>
  <c r="R121" i="79"/>
  <c r="D121" i="79"/>
  <c r="R120" i="79"/>
  <c r="Q120" i="79"/>
  <c r="D120" i="79"/>
  <c r="R119" i="79"/>
  <c r="O119" i="79"/>
  <c r="Q119" i="79"/>
  <c r="D119" i="79"/>
  <c r="R118" i="79"/>
  <c r="Q118" i="79"/>
  <c r="P118" i="79"/>
  <c r="D118" i="79"/>
  <c r="R117" i="79"/>
  <c r="Q117" i="79"/>
  <c r="D117" i="79"/>
  <c r="R116" i="79"/>
  <c r="Q116" i="79"/>
  <c r="D116" i="79"/>
  <c r="R115" i="79"/>
  <c r="Q115" i="79"/>
  <c r="D115" i="79"/>
  <c r="R114" i="79"/>
  <c r="Q114" i="79"/>
  <c r="D114" i="79"/>
  <c r="R113" i="79"/>
  <c r="Q113" i="79"/>
  <c r="D113" i="79"/>
  <c r="R112" i="79"/>
  <c r="Q112" i="79"/>
  <c r="D112" i="79"/>
  <c r="R111" i="79"/>
  <c r="Q111" i="79"/>
  <c r="D111" i="79"/>
  <c r="R110" i="79"/>
  <c r="Q110" i="79"/>
  <c r="P110" i="79"/>
  <c r="D110" i="79"/>
  <c r="Q109" i="79"/>
  <c r="P109" i="79"/>
  <c r="R109" i="79"/>
  <c r="D109" i="79"/>
  <c r="R108" i="79"/>
  <c r="Q108" i="79"/>
  <c r="O108" i="79"/>
  <c r="D108" i="79"/>
  <c r="R107" i="79"/>
  <c r="Q107" i="79"/>
  <c r="D107" i="79"/>
  <c r="R106" i="79"/>
  <c r="Q106" i="79"/>
  <c r="D106" i="79"/>
  <c r="R105" i="79"/>
  <c r="Q105" i="79"/>
  <c r="D105" i="79"/>
  <c r="R104" i="79"/>
  <c r="Q104" i="79"/>
  <c r="D104" i="79"/>
  <c r="R103" i="79"/>
  <c r="Q103" i="79"/>
  <c r="D103" i="79"/>
  <c r="R102" i="79"/>
  <c r="Q102" i="79"/>
  <c r="D102" i="79"/>
  <c r="Q101" i="79"/>
  <c r="P101" i="79"/>
  <c r="R101" i="79"/>
  <c r="D101" i="79"/>
  <c r="R100" i="79"/>
  <c r="O100" i="79"/>
  <c r="Q100" i="79"/>
  <c r="D100" i="79"/>
  <c r="Q99" i="79"/>
  <c r="P99" i="79"/>
  <c r="R99" i="79"/>
  <c r="D99" i="79"/>
  <c r="R98" i="79"/>
  <c r="Q98" i="79"/>
  <c r="D98" i="79"/>
  <c r="R97" i="79"/>
  <c r="O97" i="79"/>
  <c r="Q97" i="79"/>
  <c r="D97" i="79"/>
  <c r="R96" i="79"/>
  <c r="Q96" i="79"/>
  <c r="D96" i="79"/>
  <c r="R95" i="79"/>
  <c r="Q95" i="79"/>
  <c r="D95" i="79"/>
  <c r="R94" i="79"/>
  <c r="Q94" i="79"/>
  <c r="D94" i="79"/>
  <c r="R93" i="79"/>
  <c r="Q93" i="79"/>
  <c r="D93" i="79"/>
  <c r="R92" i="79"/>
  <c r="Q92" i="79"/>
  <c r="D92" i="79"/>
  <c r="R91" i="79"/>
  <c r="Q91" i="79"/>
  <c r="D91" i="79"/>
  <c r="R90" i="79"/>
  <c r="Q90" i="79"/>
  <c r="D90" i="79"/>
  <c r="R89" i="79"/>
  <c r="Q89" i="79"/>
  <c r="D89" i="79"/>
  <c r="R88" i="79"/>
  <c r="Q88" i="79"/>
  <c r="D88" i="79"/>
  <c r="Q87" i="79"/>
  <c r="P87" i="79"/>
  <c r="R87" i="79"/>
  <c r="D87" i="79"/>
  <c r="R86" i="79"/>
  <c r="Q86" i="79"/>
  <c r="O86" i="79"/>
  <c r="D86" i="79"/>
  <c r="R85" i="79"/>
  <c r="Q85" i="79"/>
  <c r="D85" i="79"/>
  <c r="R84" i="79"/>
  <c r="Q84" i="79"/>
  <c r="D84" i="79"/>
  <c r="R83" i="79"/>
  <c r="Q83" i="79"/>
  <c r="D83" i="79"/>
  <c r="R82" i="79"/>
  <c r="Q82" i="79"/>
  <c r="D82" i="79"/>
  <c r="R81" i="79"/>
  <c r="Q81" i="79"/>
  <c r="D81" i="79"/>
  <c r="R80" i="79"/>
  <c r="Q80" i="79"/>
  <c r="D80" i="79"/>
  <c r="R79" i="79"/>
  <c r="Q79" i="79"/>
  <c r="D79" i="79"/>
  <c r="Q78" i="79"/>
  <c r="P78" i="79"/>
  <c r="R78" i="79"/>
  <c r="D78" i="79"/>
  <c r="R77" i="79"/>
  <c r="Q77" i="79"/>
  <c r="D77" i="79"/>
  <c r="R76" i="79"/>
  <c r="Q76" i="79"/>
  <c r="O76" i="79"/>
  <c r="D76" i="79"/>
  <c r="R75" i="79"/>
  <c r="Q75" i="79"/>
  <c r="D75" i="79"/>
  <c r="R74" i="79"/>
  <c r="Q74" i="79"/>
  <c r="P74" i="79"/>
  <c r="D74" i="79"/>
  <c r="R73" i="79"/>
  <c r="Q73" i="79"/>
  <c r="D73" i="79"/>
  <c r="R72" i="79"/>
  <c r="Q72" i="79"/>
  <c r="D72" i="79"/>
  <c r="R71" i="79"/>
  <c r="Q71" i="79"/>
  <c r="D71" i="79"/>
  <c r="R70" i="79"/>
  <c r="Q70" i="79"/>
  <c r="D70" i="79"/>
  <c r="R69" i="79"/>
  <c r="Q69" i="79"/>
  <c r="P69" i="79"/>
  <c r="D69" i="79"/>
  <c r="R68" i="79"/>
  <c r="O68" i="79"/>
  <c r="Q68" i="79"/>
  <c r="D68" i="79"/>
  <c r="R67" i="79"/>
  <c r="Q67" i="79"/>
  <c r="O67" i="79"/>
  <c r="D67" i="79"/>
  <c r="R66" i="79"/>
  <c r="Q66" i="79"/>
  <c r="D66" i="79"/>
  <c r="R65" i="79"/>
  <c r="Q65" i="79"/>
  <c r="D65" i="79"/>
  <c r="R64" i="79"/>
  <c r="Q64" i="79"/>
  <c r="D64" i="79"/>
  <c r="R63" i="79"/>
  <c r="Q63" i="79"/>
  <c r="D63" i="79"/>
  <c r="R62" i="79"/>
  <c r="Q62" i="79"/>
  <c r="D62" i="79"/>
  <c r="Q61" i="79"/>
  <c r="P61" i="79"/>
  <c r="R61" i="79"/>
  <c r="D61" i="79"/>
  <c r="R60" i="79"/>
  <c r="Q60" i="79"/>
  <c r="D60" i="79"/>
  <c r="R59" i="79"/>
  <c r="O59" i="79"/>
  <c r="Q59" i="79"/>
  <c r="D59" i="79"/>
  <c r="Q58" i="79"/>
  <c r="P58" i="79"/>
  <c r="R58" i="79"/>
  <c r="D58" i="79"/>
  <c r="R57" i="79"/>
  <c r="O57" i="79"/>
  <c r="Q57" i="79"/>
  <c r="D57" i="79"/>
  <c r="R56" i="79"/>
  <c r="Q56" i="79"/>
  <c r="D56" i="79"/>
  <c r="R55" i="79"/>
  <c r="Q55" i="79"/>
  <c r="D55" i="79"/>
  <c r="R54" i="79"/>
  <c r="Q54" i="79"/>
  <c r="D54" i="79"/>
  <c r="R53" i="79"/>
  <c r="Q53" i="79"/>
  <c r="D53" i="79"/>
  <c r="R52" i="79"/>
  <c r="Q52" i="79"/>
  <c r="D52" i="79"/>
  <c r="R51" i="79"/>
  <c r="Q51" i="79"/>
  <c r="D51" i="79"/>
  <c r="R50" i="79"/>
  <c r="Q50" i="79"/>
  <c r="D50" i="79"/>
  <c r="Q49" i="79"/>
  <c r="P49" i="79"/>
  <c r="R49" i="79"/>
  <c r="D49" i="79"/>
  <c r="R48" i="79"/>
  <c r="O48" i="79"/>
  <c r="Q48" i="79"/>
  <c r="D48" i="79"/>
  <c r="Q47" i="79"/>
  <c r="P47" i="79"/>
  <c r="R47" i="79"/>
  <c r="D47" i="79"/>
  <c r="R46" i="79"/>
  <c r="Q46" i="79"/>
  <c r="D46" i="79"/>
  <c r="R45" i="79"/>
  <c r="O45" i="79"/>
  <c r="Q45" i="79"/>
  <c r="D45" i="79"/>
  <c r="R44" i="79"/>
  <c r="Q44" i="79"/>
  <c r="D44" i="79"/>
  <c r="R43" i="79"/>
  <c r="Q43" i="79"/>
  <c r="D43" i="79"/>
  <c r="Q42" i="79"/>
  <c r="P42" i="79"/>
  <c r="R42" i="79"/>
  <c r="D42" i="79"/>
  <c r="R41" i="79"/>
  <c r="Q41" i="79"/>
  <c r="D41" i="79"/>
  <c r="R40" i="79"/>
  <c r="O40" i="79"/>
  <c r="Q40" i="79"/>
  <c r="D40" i="79"/>
  <c r="R39" i="79"/>
  <c r="Q39" i="79"/>
  <c r="D39" i="79"/>
  <c r="R38" i="79"/>
  <c r="Q38" i="79"/>
  <c r="D38" i="79"/>
  <c r="R37" i="79"/>
  <c r="Q37" i="79"/>
  <c r="D37" i="79"/>
  <c r="R36" i="79"/>
  <c r="Q36" i="79"/>
  <c r="P36" i="79"/>
  <c r="D36" i="79"/>
  <c r="R35" i="79"/>
  <c r="Q35" i="79"/>
  <c r="D35" i="79"/>
  <c r="Q34" i="79"/>
  <c r="P34" i="79"/>
  <c r="R34" i="79"/>
  <c r="D34" i="79"/>
  <c r="Q33" i="79"/>
  <c r="P33" i="79"/>
  <c r="R33" i="79"/>
  <c r="D33" i="79"/>
  <c r="Q32" i="79"/>
  <c r="P32" i="79"/>
  <c r="R32" i="79"/>
  <c r="D32" i="79"/>
  <c r="R31" i="79"/>
  <c r="Q31" i="79"/>
  <c r="O31" i="79"/>
  <c r="D31" i="79"/>
  <c r="R30" i="79"/>
  <c r="Q30" i="79"/>
  <c r="D30" i="79"/>
  <c r="R29" i="79"/>
  <c r="Q29" i="79"/>
  <c r="D29" i="79"/>
  <c r="Q28" i="79"/>
  <c r="P28" i="79"/>
  <c r="R28" i="79"/>
  <c r="D28" i="79"/>
  <c r="R27" i="79"/>
  <c r="Q27" i="79"/>
  <c r="P27" i="79"/>
  <c r="D27" i="79"/>
  <c r="R26" i="79"/>
  <c r="Q26" i="79"/>
  <c r="D26" i="79"/>
  <c r="R25" i="79"/>
  <c r="Q25" i="79"/>
  <c r="O25" i="79"/>
  <c r="D25" i="79"/>
  <c r="R24" i="79"/>
  <c r="Q24" i="79"/>
  <c r="D24" i="79"/>
  <c r="R23" i="79"/>
  <c r="Q23" i="79"/>
  <c r="D23" i="79"/>
  <c r="R22" i="79"/>
  <c r="Q22" i="79"/>
  <c r="D22" i="79"/>
  <c r="R21" i="79"/>
  <c r="Q21" i="79"/>
  <c r="D21" i="79"/>
  <c r="R20" i="79"/>
  <c r="Q20" i="79"/>
  <c r="D20" i="79"/>
  <c r="R19" i="79"/>
  <c r="Q19" i="79"/>
  <c r="D19" i="79"/>
  <c r="R18" i="79"/>
  <c r="Q18" i="79"/>
  <c r="D18" i="79"/>
  <c r="R17" i="79"/>
  <c r="Q17" i="79"/>
  <c r="D17" i="79"/>
  <c r="R16" i="79"/>
  <c r="O16" i="79"/>
  <c r="Q16" i="79"/>
  <c r="D16" i="79"/>
  <c r="R15" i="79"/>
  <c r="Q15" i="79"/>
  <c r="D15" i="79"/>
  <c r="R14" i="79"/>
  <c r="Q14" i="79"/>
  <c r="D14" i="79"/>
  <c r="R13" i="79"/>
  <c r="Q13" i="79"/>
  <c r="D13" i="79"/>
  <c r="R12" i="79"/>
  <c r="Q12" i="79"/>
  <c r="D12" i="79"/>
  <c r="R11" i="79"/>
  <c r="Q11" i="79"/>
  <c r="D11" i="79"/>
  <c r="P5" i="79"/>
  <c r="P4" i="79"/>
  <c r="P3" i="79"/>
  <c r="P2" i="79"/>
  <c r="P1" i="79"/>
  <c r="O1" i="79"/>
  <c r="N1" i="79"/>
  <c r="M1" i="79"/>
  <c r="J2" i="117"/>
  <c r="L2" i="117"/>
  <c r="BZ65" i="118"/>
  <c r="BY65" i="118"/>
  <c r="BX65" i="118"/>
  <c r="BW65" i="118"/>
  <c r="BV65" i="118"/>
  <c r="BU65" i="118"/>
  <c r="BT65" i="118"/>
  <c r="BS65" i="118"/>
  <c r="BR65" i="118"/>
  <c r="BQ65" i="118"/>
  <c r="BP65" i="118"/>
  <c r="BO65" i="118"/>
  <c r="BN65" i="118"/>
  <c r="BK65" i="118"/>
  <c r="BJ65" i="118"/>
  <c r="BI65" i="118"/>
  <c r="BH65" i="118"/>
  <c r="BG65" i="118"/>
  <c r="BF65" i="118"/>
  <c r="BE65" i="118"/>
  <c r="BD65" i="118"/>
  <c r="BC65" i="118"/>
  <c r="BB65" i="118"/>
  <c r="BA65" i="118"/>
  <c r="AZ65" i="118"/>
  <c r="AY65" i="118"/>
  <c r="AV65" i="118"/>
  <c r="AU65" i="118"/>
  <c r="AT65" i="118"/>
  <c r="AS65" i="118"/>
  <c r="AR65" i="118"/>
  <c r="AQ65" i="118"/>
  <c r="AP65" i="118"/>
  <c r="AO65" i="118"/>
  <c r="AN65" i="118"/>
  <c r="AM65" i="118"/>
  <c r="AL65" i="118"/>
  <c r="AK65" i="118"/>
  <c r="AJ65" i="118"/>
  <c r="AG65" i="118"/>
  <c r="AF65" i="118"/>
  <c r="AE65" i="118"/>
  <c r="AD65" i="118"/>
  <c r="AC65" i="118"/>
  <c r="AB65" i="118"/>
  <c r="AA65" i="118"/>
  <c r="Z65" i="118"/>
  <c r="Y65" i="118"/>
  <c r="X65" i="118"/>
  <c r="W65" i="118"/>
  <c r="V65" i="118"/>
  <c r="U65" i="118"/>
  <c r="C65" i="118"/>
  <c r="BZ64" i="118"/>
  <c r="BY64" i="118"/>
  <c r="BX64" i="118"/>
  <c r="BW64" i="118"/>
  <c r="BV64" i="118"/>
  <c r="BU64" i="118"/>
  <c r="BT64" i="118"/>
  <c r="BS64" i="118"/>
  <c r="BR64" i="118"/>
  <c r="BQ64" i="118"/>
  <c r="BP64" i="118"/>
  <c r="BO64" i="118"/>
  <c r="BN64" i="118"/>
  <c r="BK64" i="118"/>
  <c r="BJ64" i="118"/>
  <c r="BI64" i="118"/>
  <c r="BH64" i="118"/>
  <c r="BG64" i="118"/>
  <c r="BF64" i="118"/>
  <c r="BE64" i="118"/>
  <c r="BD64" i="118"/>
  <c r="BC64" i="118"/>
  <c r="BB64" i="118"/>
  <c r="BA64" i="118"/>
  <c r="AZ64" i="118"/>
  <c r="AY64" i="118"/>
  <c r="AV64" i="118"/>
  <c r="AU64" i="118"/>
  <c r="AT64" i="118"/>
  <c r="AS64" i="118"/>
  <c r="AR64" i="118"/>
  <c r="AQ64" i="118"/>
  <c r="AP64" i="118"/>
  <c r="AO64" i="118"/>
  <c r="AN64" i="118"/>
  <c r="AM64" i="118"/>
  <c r="AL64" i="118"/>
  <c r="AK64" i="118"/>
  <c r="AJ64" i="118"/>
  <c r="AG64" i="118"/>
  <c r="AF64" i="118"/>
  <c r="AE64" i="118"/>
  <c r="AD64" i="118"/>
  <c r="AC64" i="118"/>
  <c r="AB64" i="118"/>
  <c r="AA64" i="118"/>
  <c r="Z64" i="118"/>
  <c r="Y64" i="118"/>
  <c r="X64" i="118"/>
  <c r="W64" i="118"/>
  <c r="V64" i="118"/>
  <c r="U64" i="118"/>
  <c r="C64" i="118"/>
  <c r="BZ63" i="118"/>
  <c r="BY63" i="118"/>
  <c r="BX63" i="118"/>
  <c r="BW63" i="118"/>
  <c r="BV63" i="118"/>
  <c r="BU63" i="118"/>
  <c r="BT63" i="118"/>
  <c r="BS63" i="118"/>
  <c r="BR63" i="118"/>
  <c r="BQ63" i="118"/>
  <c r="BP63" i="118"/>
  <c r="BO63" i="118"/>
  <c r="BN63" i="118"/>
  <c r="BK63" i="118"/>
  <c r="BJ63" i="118"/>
  <c r="BI63" i="118"/>
  <c r="BH63" i="118"/>
  <c r="BG63" i="118"/>
  <c r="BF63" i="118"/>
  <c r="BE63" i="118"/>
  <c r="BD63" i="118"/>
  <c r="BC63" i="118"/>
  <c r="BB63" i="118"/>
  <c r="BA63" i="118"/>
  <c r="AZ63" i="118"/>
  <c r="AY63" i="118"/>
  <c r="AV63" i="118"/>
  <c r="AU63" i="118"/>
  <c r="AT63" i="118"/>
  <c r="AS63" i="118"/>
  <c r="AR63" i="118"/>
  <c r="AQ63" i="118"/>
  <c r="AP63" i="118"/>
  <c r="AO63" i="118"/>
  <c r="AN63" i="118"/>
  <c r="AM63" i="118"/>
  <c r="AL63" i="118"/>
  <c r="AK63" i="118"/>
  <c r="AJ63" i="118"/>
  <c r="AG63" i="118"/>
  <c r="AF63" i="118"/>
  <c r="AE63" i="118"/>
  <c r="AD63" i="118"/>
  <c r="AC63" i="118"/>
  <c r="AB63" i="118"/>
  <c r="AA63" i="118"/>
  <c r="Z63" i="118"/>
  <c r="Y63" i="118"/>
  <c r="X63" i="118"/>
  <c r="W63" i="118"/>
  <c r="V63" i="118"/>
  <c r="U63" i="118"/>
  <c r="C63" i="118"/>
  <c r="BZ62" i="118"/>
  <c r="BY62" i="118"/>
  <c r="BX62" i="118"/>
  <c r="BW62" i="118"/>
  <c r="BV62" i="118"/>
  <c r="BU62" i="118"/>
  <c r="BT62" i="118"/>
  <c r="BS62" i="118"/>
  <c r="BR62" i="118"/>
  <c r="BQ62" i="118"/>
  <c r="BP62" i="118"/>
  <c r="BO62" i="118"/>
  <c r="BN62" i="118"/>
  <c r="BK62" i="118"/>
  <c r="BJ62" i="118"/>
  <c r="BI62" i="118"/>
  <c r="BH62" i="118"/>
  <c r="BG62" i="118"/>
  <c r="BF62" i="118"/>
  <c r="BE62" i="118"/>
  <c r="BD62" i="118"/>
  <c r="BC62" i="118"/>
  <c r="BB62" i="118"/>
  <c r="BA62" i="118"/>
  <c r="AZ62" i="118"/>
  <c r="AY62" i="118"/>
  <c r="AV62" i="118"/>
  <c r="AU62" i="118"/>
  <c r="AT62" i="118"/>
  <c r="AS62" i="118"/>
  <c r="AR62" i="118"/>
  <c r="AQ62" i="118"/>
  <c r="AP62" i="118"/>
  <c r="AO62" i="118"/>
  <c r="AN62" i="118"/>
  <c r="AM62" i="118"/>
  <c r="AL62" i="118"/>
  <c r="AK62" i="118"/>
  <c r="AJ62" i="118"/>
  <c r="AG62" i="118"/>
  <c r="AF62" i="118"/>
  <c r="AE62" i="118"/>
  <c r="AD62" i="118"/>
  <c r="AC62" i="118"/>
  <c r="AB62" i="118"/>
  <c r="AA62" i="118"/>
  <c r="Z62" i="118"/>
  <c r="Y62" i="118"/>
  <c r="X62" i="118"/>
  <c r="W62" i="118"/>
  <c r="V62" i="118"/>
  <c r="U62" i="118"/>
  <c r="C62" i="118"/>
  <c r="BZ60" i="118"/>
  <c r="BY60" i="118"/>
  <c r="BX60" i="118"/>
  <c r="BW60" i="118"/>
  <c r="BV60" i="118"/>
  <c r="BU60" i="118"/>
  <c r="BT60" i="118"/>
  <c r="BS60" i="118"/>
  <c r="BR60" i="118"/>
  <c r="BQ60" i="118"/>
  <c r="BP60" i="118"/>
  <c r="BO60" i="118"/>
  <c r="BN60" i="118"/>
  <c r="BK60" i="118"/>
  <c r="BJ60" i="118"/>
  <c r="BI60" i="118"/>
  <c r="BH60" i="118"/>
  <c r="BG60" i="118"/>
  <c r="BF60" i="118"/>
  <c r="BE60" i="118"/>
  <c r="BD60" i="118"/>
  <c r="BC60" i="118"/>
  <c r="BB60" i="118"/>
  <c r="BA60" i="118"/>
  <c r="AZ60" i="118"/>
  <c r="AY60" i="118"/>
  <c r="AV60" i="118"/>
  <c r="AU60" i="118"/>
  <c r="AT60" i="118"/>
  <c r="AS60" i="118"/>
  <c r="AR60" i="118"/>
  <c r="AQ60" i="118"/>
  <c r="AP60" i="118"/>
  <c r="AO60" i="118"/>
  <c r="AN60" i="118"/>
  <c r="AM60" i="118"/>
  <c r="AL60" i="118"/>
  <c r="AK60" i="118"/>
  <c r="AJ60" i="118"/>
  <c r="AG60" i="118"/>
  <c r="AF60" i="118"/>
  <c r="AE60" i="118"/>
  <c r="AD60" i="118"/>
  <c r="AC60" i="118"/>
  <c r="AB60" i="118"/>
  <c r="AA60" i="118"/>
  <c r="Z60" i="118"/>
  <c r="Y60" i="118"/>
  <c r="X60" i="118"/>
  <c r="W60" i="118"/>
  <c r="V60" i="118"/>
  <c r="U60" i="118"/>
  <c r="C60" i="118"/>
  <c r="BZ59" i="118"/>
  <c r="BY59" i="118"/>
  <c r="BX59" i="118"/>
  <c r="BW59" i="118"/>
  <c r="BV59" i="118"/>
  <c r="BU59" i="118"/>
  <c r="BT59" i="118"/>
  <c r="BS59" i="118"/>
  <c r="BR59" i="118"/>
  <c r="BQ59" i="118"/>
  <c r="BP59" i="118"/>
  <c r="BO59" i="118"/>
  <c r="BN59" i="118"/>
  <c r="BK59" i="118"/>
  <c r="BJ59" i="118"/>
  <c r="BI59" i="118"/>
  <c r="BH59" i="118"/>
  <c r="BG59" i="118"/>
  <c r="BF59" i="118"/>
  <c r="BE59" i="118"/>
  <c r="BD59" i="118"/>
  <c r="BC59" i="118"/>
  <c r="BB59" i="118"/>
  <c r="BA59" i="118"/>
  <c r="AZ59" i="118"/>
  <c r="AY59" i="118"/>
  <c r="AQ59" i="118"/>
  <c r="AP59" i="118"/>
  <c r="AO59" i="118"/>
  <c r="AN59" i="118"/>
  <c r="AM59" i="118"/>
  <c r="AL59" i="118"/>
  <c r="AK59" i="118"/>
  <c r="AJ59" i="118"/>
  <c r="AB59" i="118"/>
  <c r="AA59" i="118"/>
  <c r="Z59" i="118"/>
  <c r="Y59" i="118"/>
  <c r="X59" i="118"/>
  <c r="W59" i="118"/>
  <c r="V59" i="118"/>
  <c r="U59" i="118"/>
  <c r="C59" i="118"/>
  <c r="BZ58" i="118"/>
  <c r="BY58" i="118"/>
  <c r="BX58" i="118"/>
  <c r="BW58" i="118"/>
  <c r="BV58" i="118"/>
  <c r="BU58" i="118"/>
  <c r="BT58" i="118"/>
  <c r="BS58" i="118"/>
  <c r="BR58" i="118"/>
  <c r="BQ58" i="118"/>
  <c r="BP58" i="118"/>
  <c r="BO58" i="118"/>
  <c r="BN58" i="118"/>
  <c r="BK58" i="118"/>
  <c r="BJ58" i="118"/>
  <c r="BI58" i="118"/>
  <c r="BH58" i="118"/>
  <c r="BG58" i="118"/>
  <c r="BF58" i="118"/>
  <c r="BE58" i="118"/>
  <c r="BD58" i="118"/>
  <c r="BC58" i="118"/>
  <c r="BB58" i="118"/>
  <c r="BA58" i="118"/>
  <c r="AZ58" i="118"/>
  <c r="AY58" i="118"/>
  <c r="AQ58" i="118"/>
  <c r="AP58" i="118"/>
  <c r="AO58" i="118"/>
  <c r="AN58" i="118"/>
  <c r="AM58" i="118"/>
  <c r="AL58" i="118"/>
  <c r="AK58" i="118"/>
  <c r="AJ58" i="118"/>
  <c r="AB58" i="118"/>
  <c r="AA58" i="118"/>
  <c r="Z58" i="118"/>
  <c r="Y58" i="118"/>
  <c r="X58" i="118"/>
  <c r="W58" i="118"/>
  <c r="V58" i="118"/>
  <c r="U58" i="118"/>
  <c r="C58" i="118"/>
  <c r="BZ56" i="118"/>
  <c r="BY56" i="118"/>
  <c r="BX56" i="118"/>
  <c r="BW56" i="118"/>
  <c r="BV56" i="118"/>
  <c r="BU56" i="118"/>
  <c r="BT56" i="118"/>
  <c r="BS56" i="118"/>
  <c r="BR56" i="118"/>
  <c r="BQ56" i="118"/>
  <c r="BP56" i="118"/>
  <c r="BO56" i="118"/>
  <c r="BN56" i="118"/>
  <c r="BK56" i="118"/>
  <c r="BJ56" i="118"/>
  <c r="BI56" i="118"/>
  <c r="BH56" i="118"/>
  <c r="BG56" i="118"/>
  <c r="BF56" i="118"/>
  <c r="BE56" i="118"/>
  <c r="BD56" i="118"/>
  <c r="BC56" i="118"/>
  <c r="BB56" i="118"/>
  <c r="BA56" i="118"/>
  <c r="AZ56" i="118"/>
  <c r="AY56" i="118"/>
  <c r="AV56" i="118"/>
  <c r="AU56" i="118"/>
  <c r="AT56" i="118"/>
  <c r="AS56" i="118"/>
  <c r="AR56" i="118"/>
  <c r="AQ56" i="118"/>
  <c r="AP56" i="118"/>
  <c r="AO56" i="118"/>
  <c r="AN56" i="118"/>
  <c r="AM56" i="118"/>
  <c r="AL56" i="118"/>
  <c r="AK56" i="118"/>
  <c r="AJ56" i="118"/>
  <c r="AG56" i="118"/>
  <c r="AF56" i="118"/>
  <c r="AE56" i="118"/>
  <c r="AD56" i="118"/>
  <c r="AC56" i="118"/>
  <c r="AB56" i="118"/>
  <c r="AA56" i="118"/>
  <c r="Z56" i="118"/>
  <c r="Y56" i="118"/>
  <c r="X56" i="118"/>
  <c r="W56" i="118"/>
  <c r="V56" i="118"/>
  <c r="U56" i="118"/>
  <c r="C56" i="118"/>
  <c r="BN55" i="118"/>
  <c r="AY55" i="118"/>
  <c r="AJ55" i="118"/>
  <c r="AB55" i="118"/>
  <c r="AA55" i="118"/>
  <c r="Z55" i="118"/>
  <c r="Y55" i="118"/>
  <c r="X55" i="118"/>
  <c r="W55" i="118"/>
  <c r="V55" i="118"/>
  <c r="U55" i="118"/>
  <c r="C55" i="118"/>
  <c r="BN54" i="118"/>
  <c r="AY54" i="118"/>
  <c r="AJ54" i="118"/>
  <c r="AB54" i="118"/>
  <c r="AA54" i="118"/>
  <c r="Z54" i="118"/>
  <c r="Y54" i="118"/>
  <c r="X54" i="118"/>
  <c r="W54" i="118"/>
  <c r="V54" i="118"/>
  <c r="U54" i="118"/>
  <c r="C54" i="118"/>
  <c r="BZ52" i="118"/>
  <c r="BY52" i="118"/>
  <c r="BX52" i="118"/>
  <c r="BW52" i="118"/>
  <c r="BV52" i="118"/>
  <c r="BU52" i="118"/>
  <c r="BT52" i="118"/>
  <c r="BS52" i="118"/>
  <c r="BR52" i="118"/>
  <c r="BQ52" i="118"/>
  <c r="BP52" i="118"/>
  <c r="BO52" i="118"/>
  <c r="BN52" i="118"/>
  <c r="BK52" i="118"/>
  <c r="BJ52" i="118"/>
  <c r="BI52" i="118"/>
  <c r="BH52" i="118"/>
  <c r="BG52" i="118"/>
  <c r="BF52" i="118"/>
  <c r="BE52" i="118"/>
  <c r="BD52" i="118"/>
  <c r="BC52" i="118"/>
  <c r="BB52" i="118"/>
  <c r="BA52" i="118"/>
  <c r="AZ52" i="118"/>
  <c r="AY52" i="118"/>
  <c r="AV52" i="118"/>
  <c r="AU52" i="118"/>
  <c r="AT52" i="118"/>
  <c r="AS52" i="118"/>
  <c r="AR52" i="118"/>
  <c r="AQ52" i="118"/>
  <c r="AP52" i="118"/>
  <c r="AO52" i="118"/>
  <c r="AN52" i="118"/>
  <c r="AM52" i="118"/>
  <c r="AL52" i="118"/>
  <c r="AK52" i="118"/>
  <c r="AJ52" i="118"/>
  <c r="AG52" i="118"/>
  <c r="AF52" i="118"/>
  <c r="AE52" i="118"/>
  <c r="AD52" i="118"/>
  <c r="AC52" i="118"/>
  <c r="AB52" i="118"/>
  <c r="AA52" i="118"/>
  <c r="Z52" i="118"/>
  <c r="Y52" i="118"/>
  <c r="X52" i="118"/>
  <c r="W52" i="118"/>
  <c r="V52" i="118"/>
  <c r="U52" i="118"/>
  <c r="R52" i="118"/>
  <c r="Q52" i="118"/>
  <c r="P52" i="118"/>
  <c r="O52" i="118"/>
  <c r="N52" i="118"/>
  <c r="M52" i="118"/>
  <c r="L52" i="118"/>
  <c r="K52" i="118"/>
  <c r="J52" i="118"/>
  <c r="I52" i="118"/>
  <c r="H52" i="118"/>
  <c r="G52" i="118"/>
  <c r="F52" i="118"/>
  <c r="C52" i="118"/>
  <c r="BZ50" i="118"/>
  <c r="BY50" i="118"/>
  <c r="BX50" i="118"/>
  <c r="BW50" i="118"/>
  <c r="BV50" i="118"/>
  <c r="BU50" i="118"/>
  <c r="BT50" i="118"/>
  <c r="BS50" i="118"/>
  <c r="BR50" i="118"/>
  <c r="BQ50" i="118"/>
  <c r="BP50" i="118"/>
  <c r="BO50" i="118"/>
  <c r="BN50" i="118"/>
  <c r="BK50" i="118"/>
  <c r="BJ50" i="118"/>
  <c r="BI50" i="118"/>
  <c r="BH50" i="118"/>
  <c r="BG50" i="118"/>
  <c r="BF50" i="118"/>
  <c r="BE50" i="118"/>
  <c r="BD50" i="118"/>
  <c r="BC50" i="118"/>
  <c r="BB50" i="118"/>
  <c r="BA50" i="118"/>
  <c r="AZ50" i="118"/>
  <c r="AY50" i="118"/>
  <c r="AV50" i="118"/>
  <c r="AU50" i="118"/>
  <c r="AT50" i="118"/>
  <c r="AS50" i="118"/>
  <c r="AR50" i="118"/>
  <c r="AQ50" i="118"/>
  <c r="AP50" i="118"/>
  <c r="AO50" i="118"/>
  <c r="AN50" i="118"/>
  <c r="AM50" i="118"/>
  <c r="AL50" i="118"/>
  <c r="AK50" i="118"/>
  <c r="AJ50" i="118"/>
  <c r="AG50" i="118"/>
  <c r="AF50" i="118"/>
  <c r="AE50" i="118"/>
  <c r="AD50" i="118"/>
  <c r="AC50" i="118"/>
  <c r="AB50" i="118"/>
  <c r="AA50" i="118"/>
  <c r="Z50" i="118"/>
  <c r="Y50" i="118"/>
  <c r="X50" i="118"/>
  <c r="W50" i="118"/>
  <c r="V50" i="118"/>
  <c r="U50" i="118"/>
  <c r="R50" i="118"/>
  <c r="Q50" i="118"/>
  <c r="P50" i="118"/>
  <c r="O50" i="118"/>
  <c r="N50" i="118"/>
  <c r="M50" i="118"/>
  <c r="L50" i="118"/>
  <c r="K50" i="118"/>
  <c r="J50" i="118"/>
  <c r="I50" i="118"/>
  <c r="H50" i="118"/>
  <c r="G50" i="118"/>
  <c r="F50" i="118"/>
  <c r="C50" i="118"/>
  <c r="BZ49" i="118"/>
  <c r="BY49" i="118"/>
  <c r="BX49" i="118"/>
  <c r="BW49" i="118"/>
  <c r="BV49" i="118"/>
  <c r="BU49" i="118"/>
  <c r="BT49" i="118"/>
  <c r="BS49" i="118"/>
  <c r="BR49" i="118"/>
  <c r="BQ49" i="118"/>
  <c r="BP49" i="118"/>
  <c r="BO49" i="118"/>
  <c r="BN49" i="118"/>
  <c r="BK49" i="118"/>
  <c r="BJ49" i="118"/>
  <c r="BI49" i="118"/>
  <c r="BH49" i="118"/>
  <c r="BG49" i="118"/>
  <c r="BF49" i="118"/>
  <c r="BE49" i="118"/>
  <c r="BD49" i="118"/>
  <c r="BC49" i="118"/>
  <c r="BB49" i="118"/>
  <c r="BA49" i="118"/>
  <c r="AZ49" i="118"/>
  <c r="AY49" i="118"/>
  <c r="AV49" i="118"/>
  <c r="AU49" i="118"/>
  <c r="AT49" i="118"/>
  <c r="AS49" i="118"/>
  <c r="AR49" i="118"/>
  <c r="AQ49" i="118"/>
  <c r="AP49" i="118"/>
  <c r="AO49" i="118"/>
  <c r="AN49" i="118"/>
  <c r="AM49" i="118"/>
  <c r="AL49" i="118"/>
  <c r="AK49" i="118"/>
  <c r="AJ49" i="118"/>
  <c r="AG49" i="118"/>
  <c r="AF49" i="118"/>
  <c r="AE49" i="118"/>
  <c r="AD49" i="118"/>
  <c r="AC49" i="118"/>
  <c r="AB49" i="118"/>
  <c r="AA49" i="118"/>
  <c r="Z49" i="118"/>
  <c r="Y49" i="118"/>
  <c r="X49" i="118"/>
  <c r="W49" i="118"/>
  <c r="V49" i="118"/>
  <c r="U49" i="118"/>
  <c r="R49" i="118"/>
  <c r="Q49" i="118"/>
  <c r="P49" i="118"/>
  <c r="O49" i="118"/>
  <c r="N49" i="118"/>
  <c r="M49" i="118"/>
  <c r="L49" i="118"/>
  <c r="K49" i="118"/>
  <c r="J49" i="118"/>
  <c r="I49" i="118"/>
  <c r="H49" i="118"/>
  <c r="G49" i="118"/>
  <c r="F49" i="118"/>
  <c r="C49" i="118"/>
  <c r="BN48" i="118"/>
  <c r="AY48" i="118"/>
  <c r="AJ48" i="118"/>
  <c r="U48" i="118"/>
  <c r="F48" i="118"/>
  <c r="C48" i="118"/>
  <c r="BZ47" i="118"/>
  <c r="BY47" i="118"/>
  <c r="BX47" i="118"/>
  <c r="BW47" i="118"/>
  <c r="BV47" i="118"/>
  <c r="BU47" i="118"/>
  <c r="BT47" i="118"/>
  <c r="BS47" i="118"/>
  <c r="BR47" i="118"/>
  <c r="BQ47" i="118"/>
  <c r="BP47" i="118"/>
  <c r="BO47" i="118"/>
  <c r="BN47" i="118"/>
  <c r="BK47" i="118"/>
  <c r="BJ47" i="118"/>
  <c r="BI47" i="118"/>
  <c r="BH47" i="118"/>
  <c r="BG47" i="118"/>
  <c r="BF47" i="118"/>
  <c r="BE47" i="118"/>
  <c r="BD47" i="118"/>
  <c r="BC47" i="118"/>
  <c r="BB47" i="118"/>
  <c r="BA47" i="118"/>
  <c r="AZ47" i="118"/>
  <c r="AY47" i="118"/>
  <c r="AV47" i="118"/>
  <c r="AU47" i="118"/>
  <c r="AT47" i="118"/>
  <c r="AS47" i="118"/>
  <c r="AR47" i="118"/>
  <c r="AQ47" i="118"/>
  <c r="AP47" i="118"/>
  <c r="AO47" i="118"/>
  <c r="AN47" i="118"/>
  <c r="AM47" i="118"/>
  <c r="AL47" i="118"/>
  <c r="AK47" i="118"/>
  <c r="AJ47" i="118"/>
  <c r="AG47" i="118"/>
  <c r="AF47" i="118"/>
  <c r="AE47" i="118"/>
  <c r="AD47" i="118"/>
  <c r="AC47" i="118"/>
  <c r="AB47" i="118"/>
  <c r="AA47" i="118"/>
  <c r="Z47" i="118"/>
  <c r="Y47" i="118"/>
  <c r="X47" i="118"/>
  <c r="W47" i="118"/>
  <c r="V47" i="118"/>
  <c r="U47" i="118"/>
  <c r="R47" i="118"/>
  <c r="Q47" i="118"/>
  <c r="P47" i="118"/>
  <c r="O47" i="118"/>
  <c r="N47" i="118"/>
  <c r="M47" i="118"/>
  <c r="L47" i="118"/>
  <c r="K47" i="118"/>
  <c r="J47" i="118"/>
  <c r="I47" i="118"/>
  <c r="H47" i="118"/>
  <c r="G47" i="118"/>
  <c r="F47" i="118"/>
  <c r="C47" i="118"/>
  <c r="BZ45" i="118"/>
  <c r="BY45" i="118"/>
  <c r="BX45" i="118"/>
  <c r="BW45" i="118"/>
  <c r="BV45" i="118"/>
  <c r="BU45" i="118"/>
  <c r="BT45" i="118"/>
  <c r="BS45" i="118"/>
  <c r="BR45" i="118"/>
  <c r="BQ45" i="118"/>
  <c r="BP45" i="118"/>
  <c r="BO45" i="118"/>
  <c r="BN45" i="118"/>
  <c r="BK45" i="118"/>
  <c r="BJ45" i="118"/>
  <c r="BI45" i="118"/>
  <c r="BH45" i="118"/>
  <c r="BG45" i="118"/>
  <c r="BF45" i="118"/>
  <c r="BE45" i="118"/>
  <c r="BD45" i="118"/>
  <c r="BC45" i="118"/>
  <c r="BB45" i="118"/>
  <c r="BA45" i="118"/>
  <c r="AZ45" i="118"/>
  <c r="AY45" i="118"/>
  <c r="AV45" i="118"/>
  <c r="AU45" i="118"/>
  <c r="AT45" i="118"/>
  <c r="AS45" i="118"/>
  <c r="AR45" i="118"/>
  <c r="AQ45" i="118"/>
  <c r="AP45" i="118"/>
  <c r="AO45" i="118"/>
  <c r="AN45" i="118"/>
  <c r="AM45" i="118"/>
  <c r="AL45" i="118"/>
  <c r="AK45" i="118"/>
  <c r="AJ45" i="118"/>
  <c r="AG45" i="118"/>
  <c r="AF45" i="118"/>
  <c r="AE45" i="118"/>
  <c r="AD45" i="118"/>
  <c r="AC45" i="118"/>
  <c r="AB45" i="118"/>
  <c r="AA45" i="118"/>
  <c r="Z45" i="118"/>
  <c r="Y45" i="118"/>
  <c r="X45" i="118"/>
  <c r="W45" i="118"/>
  <c r="V45" i="118"/>
  <c r="U45" i="118"/>
  <c r="R45" i="118"/>
  <c r="Q45" i="118"/>
  <c r="P45" i="118"/>
  <c r="O45" i="118"/>
  <c r="N45" i="118"/>
  <c r="M45" i="118"/>
  <c r="L45" i="118"/>
  <c r="K45" i="118"/>
  <c r="J45" i="118"/>
  <c r="I45" i="118"/>
  <c r="H45" i="118"/>
  <c r="G45" i="118"/>
  <c r="F45" i="118"/>
  <c r="C45" i="118"/>
  <c r="BZ44" i="118"/>
  <c r="BY44" i="118"/>
  <c r="BX44" i="118"/>
  <c r="BW44" i="118"/>
  <c r="BV44" i="118"/>
  <c r="BU44" i="118"/>
  <c r="BT44" i="118"/>
  <c r="BS44" i="118"/>
  <c r="BR44" i="118"/>
  <c r="BQ44" i="118"/>
  <c r="BP44" i="118"/>
  <c r="BO44" i="118"/>
  <c r="BN44" i="118"/>
  <c r="BK44" i="118"/>
  <c r="BJ44" i="118"/>
  <c r="BI44" i="118"/>
  <c r="BH44" i="118"/>
  <c r="BG44" i="118"/>
  <c r="BF44" i="118"/>
  <c r="BE44" i="118"/>
  <c r="BD44" i="118"/>
  <c r="BC44" i="118"/>
  <c r="BB44" i="118"/>
  <c r="BA44" i="118"/>
  <c r="AZ44" i="118"/>
  <c r="AY44" i="118"/>
  <c r="AV44" i="118"/>
  <c r="AU44" i="118"/>
  <c r="AT44" i="118"/>
  <c r="AS44" i="118"/>
  <c r="AR44" i="118"/>
  <c r="AQ44" i="118"/>
  <c r="AP44" i="118"/>
  <c r="AO44" i="118"/>
  <c r="AN44" i="118"/>
  <c r="AM44" i="118"/>
  <c r="AL44" i="118"/>
  <c r="AK44" i="118"/>
  <c r="AJ44" i="118"/>
  <c r="AG44" i="118"/>
  <c r="AF44" i="118"/>
  <c r="AE44" i="118"/>
  <c r="AD44" i="118"/>
  <c r="AC44" i="118"/>
  <c r="AB44" i="118"/>
  <c r="AA44" i="118"/>
  <c r="Z44" i="118"/>
  <c r="Y44" i="118"/>
  <c r="X44" i="118"/>
  <c r="W44" i="118"/>
  <c r="V44" i="118"/>
  <c r="U44" i="118"/>
  <c r="R44" i="118"/>
  <c r="Q44" i="118"/>
  <c r="P44" i="118"/>
  <c r="O44" i="118"/>
  <c r="N44" i="118"/>
  <c r="M44" i="118"/>
  <c r="L44" i="118"/>
  <c r="K44" i="118"/>
  <c r="J44" i="118"/>
  <c r="I44" i="118"/>
  <c r="H44" i="118"/>
  <c r="G44" i="118"/>
  <c r="F44" i="118"/>
  <c r="C44" i="118"/>
  <c r="BZ43" i="118"/>
  <c r="BY43" i="118"/>
  <c r="BX43" i="118"/>
  <c r="BW43" i="118"/>
  <c r="BV43" i="118"/>
  <c r="BU43" i="118"/>
  <c r="BT43" i="118"/>
  <c r="BS43" i="118"/>
  <c r="BR43" i="118"/>
  <c r="BQ43" i="118"/>
  <c r="BP43" i="118"/>
  <c r="BO43" i="118"/>
  <c r="BN43" i="118"/>
  <c r="BK43" i="118"/>
  <c r="BJ43" i="118"/>
  <c r="BI43" i="118"/>
  <c r="BH43" i="118"/>
  <c r="BG43" i="118"/>
  <c r="BF43" i="118"/>
  <c r="BE43" i="118"/>
  <c r="BD43" i="118"/>
  <c r="BC43" i="118"/>
  <c r="BB43" i="118"/>
  <c r="BA43" i="118"/>
  <c r="AZ43" i="118"/>
  <c r="AY43" i="118"/>
  <c r="AV43" i="118"/>
  <c r="AU43" i="118"/>
  <c r="AT43" i="118"/>
  <c r="AS43" i="118"/>
  <c r="AR43" i="118"/>
  <c r="AQ43" i="118"/>
  <c r="AP43" i="118"/>
  <c r="AO43" i="118"/>
  <c r="AN43" i="118"/>
  <c r="AM43" i="118"/>
  <c r="AL43" i="118"/>
  <c r="AK43" i="118"/>
  <c r="AJ43" i="118"/>
  <c r="AG43" i="118"/>
  <c r="AF43" i="118"/>
  <c r="AE43" i="118"/>
  <c r="AD43" i="118"/>
  <c r="AC43" i="118"/>
  <c r="AB43" i="118"/>
  <c r="AA43" i="118"/>
  <c r="Z43" i="118"/>
  <c r="Y43" i="118"/>
  <c r="X43" i="118"/>
  <c r="W43" i="118"/>
  <c r="V43" i="118"/>
  <c r="U43" i="118"/>
  <c r="R43" i="118"/>
  <c r="Q43" i="118"/>
  <c r="P43" i="118"/>
  <c r="O43" i="118"/>
  <c r="N43" i="118"/>
  <c r="M43" i="118"/>
  <c r="L43" i="118"/>
  <c r="K43" i="118"/>
  <c r="J43" i="118"/>
  <c r="I43" i="118"/>
  <c r="H43" i="118"/>
  <c r="G43" i="118"/>
  <c r="F43" i="118"/>
  <c r="C43" i="118"/>
  <c r="BZ42" i="118"/>
  <c r="BY42" i="118"/>
  <c r="BX42" i="118"/>
  <c r="BW42" i="118"/>
  <c r="BV42" i="118"/>
  <c r="BU42" i="118"/>
  <c r="BT42" i="118"/>
  <c r="BS42" i="118"/>
  <c r="BR42" i="118"/>
  <c r="BQ42" i="118"/>
  <c r="BP42" i="118"/>
  <c r="BO42" i="118"/>
  <c r="BN42" i="118"/>
  <c r="BK42" i="118"/>
  <c r="BJ42" i="118"/>
  <c r="BI42" i="118"/>
  <c r="BH42" i="118"/>
  <c r="BG42" i="118"/>
  <c r="BF42" i="118"/>
  <c r="BE42" i="118"/>
  <c r="BD42" i="118"/>
  <c r="BC42" i="118"/>
  <c r="BB42" i="118"/>
  <c r="BA42" i="118"/>
  <c r="AZ42" i="118"/>
  <c r="AY42" i="118"/>
  <c r="AV42" i="118"/>
  <c r="AU42" i="118"/>
  <c r="AT42" i="118"/>
  <c r="AS42" i="118"/>
  <c r="AR42" i="118"/>
  <c r="AQ42" i="118"/>
  <c r="AP42" i="118"/>
  <c r="AO42" i="118"/>
  <c r="AN42" i="118"/>
  <c r="AM42" i="118"/>
  <c r="AL42" i="118"/>
  <c r="AK42" i="118"/>
  <c r="AJ42" i="118"/>
  <c r="AG42" i="118"/>
  <c r="AF42" i="118"/>
  <c r="AE42" i="118"/>
  <c r="AD42" i="118"/>
  <c r="AC42" i="118"/>
  <c r="AB42" i="118"/>
  <c r="AA42" i="118"/>
  <c r="Z42" i="118"/>
  <c r="Y42" i="118"/>
  <c r="X42" i="118"/>
  <c r="W42" i="118"/>
  <c r="V42" i="118"/>
  <c r="U42" i="118"/>
  <c r="R42" i="118"/>
  <c r="Q42" i="118"/>
  <c r="P42" i="118"/>
  <c r="O42" i="118"/>
  <c r="N42" i="118"/>
  <c r="M42" i="118"/>
  <c r="L42" i="118"/>
  <c r="K42" i="118"/>
  <c r="J42" i="118"/>
  <c r="I42" i="118"/>
  <c r="H42" i="118"/>
  <c r="G42" i="118"/>
  <c r="F42" i="118"/>
  <c r="C42" i="118"/>
  <c r="BZ40" i="118"/>
  <c r="BY40" i="118"/>
  <c r="BX40" i="118"/>
  <c r="BW40" i="118"/>
  <c r="BV40" i="118"/>
  <c r="BU40" i="118"/>
  <c r="BT40" i="118"/>
  <c r="BS40" i="118"/>
  <c r="BR40" i="118"/>
  <c r="BQ40" i="118"/>
  <c r="BP40" i="118"/>
  <c r="BO40" i="118"/>
  <c r="BN40" i="118"/>
  <c r="BK40" i="118"/>
  <c r="BJ40" i="118"/>
  <c r="BI40" i="118"/>
  <c r="BH40" i="118"/>
  <c r="BG40" i="118"/>
  <c r="BF40" i="118"/>
  <c r="BE40" i="118"/>
  <c r="BD40" i="118"/>
  <c r="BC40" i="118"/>
  <c r="BB40" i="118"/>
  <c r="BA40" i="118"/>
  <c r="AZ40" i="118"/>
  <c r="AY40" i="118"/>
  <c r="AV40" i="118"/>
  <c r="AU40" i="118"/>
  <c r="AT40" i="118"/>
  <c r="AS40" i="118"/>
  <c r="AR40" i="118"/>
  <c r="AQ40" i="118"/>
  <c r="AP40" i="118"/>
  <c r="AO40" i="118"/>
  <c r="AN40" i="118"/>
  <c r="AM40" i="118"/>
  <c r="AL40" i="118"/>
  <c r="AK40" i="118"/>
  <c r="AJ40" i="118"/>
  <c r="AG40" i="118"/>
  <c r="AF40" i="118"/>
  <c r="AE40" i="118"/>
  <c r="AD40" i="118"/>
  <c r="AC40" i="118"/>
  <c r="AB40" i="118"/>
  <c r="AA40" i="118"/>
  <c r="Z40" i="118"/>
  <c r="Y40" i="118"/>
  <c r="X40" i="118"/>
  <c r="W40" i="118"/>
  <c r="V40" i="118"/>
  <c r="U40" i="118"/>
  <c r="R40" i="118"/>
  <c r="Q40" i="118"/>
  <c r="P40" i="118"/>
  <c r="O40" i="118"/>
  <c r="N40" i="118"/>
  <c r="M40" i="118"/>
  <c r="L40" i="118"/>
  <c r="K40" i="118"/>
  <c r="J40" i="118"/>
  <c r="I40" i="118"/>
  <c r="H40" i="118"/>
  <c r="G40" i="118"/>
  <c r="F40" i="118"/>
  <c r="C40" i="118"/>
  <c r="BZ39" i="118"/>
  <c r="BY39" i="118"/>
  <c r="BX39" i="118"/>
  <c r="BW39" i="118"/>
  <c r="BV39" i="118"/>
  <c r="BU39" i="118"/>
  <c r="BT39" i="118"/>
  <c r="BS39" i="118"/>
  <c r="BR39" i="118"/>
  <c r="BQ39" i="118"/>
  <c r="BP39" i="118"/>
  <c r="BO39" i="118"/>
  <c r="BN39" i="118"/>
  <c r="BK39" i="118"/>
  <c r="BJ39" i="118"/>
  <c r="BI39" i="118"/>
  <c r="BH39" i="118"/>
  <c r="BG39" i="118"/>
  <c r="BF39" i="118"/>
  <c r="BE39" i="118"/>
  <c r="BD39" i="118"/>
  <c r="BC39" i="118"/>
  <c r="BB39" i="118"/>
  <c r="BA39" i="118"/>
  <c r="AZ39" i="118"/>
  <c r="AY39" i="118"/>
  <c r="AV39" i="118"/>
  <c r="AU39" i="118"/>
  <c r="AT39" i="118"/>
  <c r="AS39" i="118"/>
  <c r="AR39" i="118"/>
  <c r="AQ39" i="118"/>
  <c r="AP39" i="118"/>
  <c r="AO39" i="118"/>
  <c r="AN39" i="118"/>
  <c r="AM39" i="118"/>
  <c r="AL39" i="118"/>
  <c r="AK39" i="118"/>
  <c r="AJ39" i="118"/>
  <c r="AG39" i="118"/>
  <c r="AF39" i="118"/>
  <c r="AE39" i="118"/>
  <c r="AD39" i="118"/>
  <c r="AC39" i="118"/>
  <c r="AB39" i="118"/>
  <c r="AA39" i="118"/>
  <c r="Z39" i="118"/>
  <c r="Y39" i="118"/>
  <c r="X39" i="118"/>
  <c r="W39" i="118"/>
  <c r="V39" i="118"/>
  <c r="U39" i="118"/>
  <c r="R39" i="118"/>
  <c r="Q39" i="118"/>
  <c r="P39" i="118"/>
  <c r="O39" i="118"/>
  <c r="N39" i="118"/>
  <c r="M39" i="118"/>
  <c r="L39" i="118"/>
  <c r="K39" i="118"/>
  <c r="J39" i="118"/>
  <c r="I39" i="118"/>
  <c r="H39" i="118"/>
  <c r="G39" i="118"/>
  <c r="F39" i="118"/>
  <c r="C39" i="118"/>
  <c r="BZ38" i="118"/>
  <c r="BY38" i="118"/>
  <c r="BX38" i="118"/>
  <c r="BW38" i="118"/>
  <c r="BV38" i="118"/>
  <c r="BU38" i="118"/>
  <c r="BT38" i="118"/>
  <c r="BS38" i="118"/>
  <c r="BR38" i="118"/>
  <c r="BQ38" i="118"/>
  <c r="BP38" i="118"/>
  <c r="BO38" i="118"/>
  <c r="BN38" i="118"/>
  <c r="BK38" i="118"/>
  <c r="BJ38" i="118"/>
  <c r="BI38" i="118"/>
  <c r="BH38" i="118"/>
  <c r="BG38" i="118"/>
  <c r="BF38" i="118"/>
  <c r="BE38" i="118"/>
  <c r="BD38" i="118"/>
  <c r="BC38" i="118"/>
  <c r="BB38" i="118"/>
  <c r="BA38" i="118"/>
  <c r="AZ38" i="118"/>
  <c r="AY38" i="118"/>
  <c r="AV38" i="118"/>
  <c r="AU38" i="118"/>
  <c r="AT38" i="118"/>
  <c r="AS38" i="118"/>
  <c r="AR38" i="118"/>
  <c r="AQ38" i="118"/>
  <c r="AP38" i="118"/>
  <c r="AO38" i="118"/>
  <c r="AN38" i="118"/>
  <c r="AM38" i="118"/>
  <c r="AL38" i="118"/>
  <c r="AK38" i="118"/>
  <c r="AJ38" i="118"/>
  <c r="AG38" i="118"/>
  <c r="AF38" i="118"/>
  <c r="AE38" i="118"/>
  <c r="AD38" i="118"/>
  <c r="AC38" i="118"/>
  <c r="AB38" i="118"/>
  <c r="AA38" i="118"/>
  <c r="Z38" i="118"/>
  <c r="Y38" i="118"/>
  <c r="X38" i="118"/>
  <c r="W38" i="118"/>
  <c r="V38" i="118"/>
  <c r="U38" i="118"/>
  <c r="R38" i="118"/>
  <c r="Q38" i="118"/>
  <c r="P38" i="118"/>
  <c r="O38" i="118"/>
  <c r="N38" i="118"/>
  <c r="M38" i="118"/>
  <c r="L38" i="118"/>
  <c r="K38" i="118"/>
  <c r="J38" i="118"/>
  <c r="I38" i="118"/>
  <c r="H38" i="118"/>
  <c r="G38" i="118"/>
  <c r="F38" i="118"/>
  <c r="C38" i="118"/>
  <c r="BZ37" i="118"/>
  <c r="BY37" i="118"/>
  <c r="BX37" i="118"/>
  <c r="BW37" i="118"/>
  <c r="BV37" i="118"/>
  <c r="BU37" i="118"/>
  <c r="BT37" i="118"/>
  <c r="BS37" i="118"/>
  <c r="BR37" i="118"/>
  <c r="BQ37" i="118"/>
  <c r="BP37" i="118"/>
  <c r="BO37" i="118"/>
  <c r="BN37" i="118"/>
  <c r="BK37" i="118"/>
  <c r="BJ37" i="118"/>
  <c r="BI37" i="118"/>
  <c r="BH37" i="118"/>
  <c r="BG37" i="118"/>
  <c r="BF37" i="118"/>
  <c r="BE37" i="118"/>
  <c r="BD37" i="118"/>
  <c r="BC37" i="118"/>
  <c r="BB37" i="118"/>
  <c r="BA37" i="118"/>
  <c r="AZ37" i="118"/>
  <c r="AY37" i="118"/>
  <c r="AV37" i="118"/>
  <c r="AU37" i="118"/>
  <c r="AT37" i="118"/>
  <c r="AS37" i="118"/>
  <c r="AR37" i="118"/>
  <c r="AQ37" i="118"/>
  <c r="AP37" i="118"/>
  <c r="AO37" i="118"/>
  <c r="AN37" i="118"/>
  <c r="AM37" i="118"/>
  <c r="AL37" i="118"/>
  <c r="AK37" i="118"/>
  <c r="AJ37" i="118"/>
  <c r="AG37" i="118"/>
  <c r="AF37" i="118"/>
  <c r="AE37" i="118"/>
  <c r="AD37" i="118"/>
  <c r="AC37" i="118"/>
  <c r="AB37" i="118"/>
  <c r="AA37" i="118"/>
  <c r="Z37" i="118"/>
  <c r="Y37" i="118"/>
  <c r="X37" i="118"/>
  <c r="W37" i="118"/>
  <c r="V37" i="118"/>
  <c r="U37" i="118"/>
  <c r="R37" i="118"/>
  <c r="Q37" i="118"/>
  <c r="P37" i="118"/>
  <c r="O37" i="118"/>
  <c r="N37" i="118"/>
  <c r="M37" i="118"/>
  <c r="L37" i="118"/>
  <c r="K37" i="118"/>
  <c r="J37" i="118"/>
  <c r="I37" i="118"/>
  <c r="H37" i="118"/>
  <c r="G37" i="118"/>
  <c r="F37" i="118"/>
  <c r="C37" i="118"/>
  <c r="BZ35" i="118"/>
  <c r="BY35" i="118"/>
  <c r="BX35" i="118"/>
  <c r="BW35" i="118"/>
  <c r="BV35" i="118"/>
  <c r="BU35" i="118"/>
  <c r="BT35" i="118"/>
  <c r="BS35" i="118"/>
  <c r="BR35" i="118"/>
  <c r="BQ35" i="118"/>
  <c r="BP35" i="118"/>
  <c r="BO35" i="118"/>
  <c r="BN35" i="118"/>
  <c r="BK35" i="118"/>
  <c r="BJ35" i="118"/>
  <c r="BI35" i="118"/>
  <c r="BH35" i="118"/>
  <c r="BG35" i="118"/>
  <c r="BF35" i="118"/>
  <c r="BE35" i="118"/>
  <c r="BD35" i="118"/>
  <c r="BC35" i="118"/>
  <c r="BB35" i="118"/>
  <c r="BA35" i="118"/>
  <c r="AZ35" i="118"/>
  <c r="AY35" i="118"/>
  <c r="AV35" i="118"/>
  <c r="AU35" i="118"/>
  <c r="AT35" i="118"/>
  <c r="AS35" i="118"/>
  <c r="AR35" i="118"/>
  <c r="AQ35" i="118"/>
  <c r="AP35" i="118"/>
  <c r="AO35" i="118"/>
  <c r="AN35" i="118"/>
  <c r="AM35" i="118"/>
  <c r="AL35" i="118"/>
  <c r="AK35" i="118"/>
  <c r="AJ35" i="118"/>
  <c r="AG35" i="118"/>
  <c r="AF35" i="118"/>
  <c r="AE35" i="118"/>
  <c r="AD35" i="118"/>
  <c r="AC35" i="118"/>
  <c r="AB35" i="118"/>
  <c r="AA35" i="118"/>
  <c r="Z35" i="118"/>
  <c r="Y35" i="118"/>
  <c r="X35" i="118"/>
  <c r="W35" i="118"/>
  <c r="V35" i="118"/>
  <c r="U35" i="118"/>
  <c r="R35" i="118"/>
  <c r="Q35" i="118"/>
  <c r="P35" i="118"/>
  <c r="O35" i="118"/>
  <c r="N35" i="118"/>
  <c r="M35" i="118"/>
  <c r="L35" i="118"/>
  <c r="K35" i="118"/>
  <c r="J35" i="118"/>
  <c r="I35" i="118"/>
  <c r="H35" i="118"/>
  <c r="G35" i="118"/>
  <c r="F35" i="118"/>
  <c r="C35" i="118"/>
  <c r="BR34" i="118"/>
  <c r="BQ34" i="118"/>
  <c r="BP34" i="118"/>
  <c r="BO34" i="118"/>
  <c r="BN34" i="118"/>
  <c r="BF34" i="118"/>
  <c r="BE34" i="118"/>
  <c r="BD34" i="118"/>
  <c r="BC34" i="118"/>
  <c r="BB34" i="118"/>
  <c r="AZ34" i="118"/>
  <c r="AY34" i="118"/>
  <c r="AJ34" i="118"/>
  <c r="V34" i="118"/>
  <c r="U34" i="118"/>
  <c r="F34" i="118"/>
  <c r="C34" i="118"/>
  <c r="BZ32" i="118"/>
  <c r="BY32" i="118"/>
  <c r="BX32" i="118"/>
  <c r="BW32" i="118"/>
  <c r="BV32" i="118"/>
  <c r="BU32" i="118"/>
  <c r="BT32" i="118"/>
  <c r="BS32" i="118"/>
  <c r="BR32" i="118"/>
  <c r="BQ32" i="118"/>
  <c r="BP32" i="118"/>
  <c r="BO32" i="118"/>
  <c r="BN32" i="118"/>
  <c r="BK32" i="118"/>
  <c r="BJ32" i="118"/>
  <c r="BI32" i="118"/>
  <c r="BH32" i="118"/>
  <c r="BG32" i="118"/>
  <c r="BF32" i="118"/>
  <c r="BE32" i="118"/>
  <c r="BD32" i="118"/>
  <c r="BC32" i="118"/>
  <c r="BB32" i="118"/>
  <c r="BA32" i="118"/>
  <c r="AZ32" i="118"/>
  <c r="AY32" i="118"/>
  <c r="AV32" i="118"/>
  <c r="AU32" i="118"/>
  <c r="AT32" i="118"/>
  <c r="AS32" i="118"/>
  <c r="AR32" i="118"/>
  <c r="AQ32" i="118"/>
  <c r="AP32" i="118"/>
  <c r="AO32" i="118"/>
  <c r="AN32" i="118"/>
  <c r="AM32" i="118"/>
  <c r="AL32" i="118"/>
  <c r="AK32" i="118"/>
  <c r="AJ32" i="118"/>
  <c r="AG32" i="118"/>
  <c r="AF32" i="118"/>
  <c r="AE32" i="118"/>
  <c r="AD32" i="118"/>
  <c r="AC32" i="118"/>
  <c r="AB32" i="118"/>
  <c r="AA32" i="118"/>
  <c r="Z32" i="118"/>
  <c r="Y32" i="118"/>
  <c r="X32" i="118"/>
  <c r="W32" i="118"/>
  <c r="V32" i="118"/>
  <c r="U32" i="118"/>
  <c r="R32" i="118"/>
  <c r="Q32" i="118"/>
  <c r="P32" i="118"/>
  <c r="O32" i="118"/>
  <c r="N32" i="118"/>
  <c r="M32" i="118"/>
  <c r="L32" i="118"/>
  <c r="K32" i="118"/>
  <c r="J32" i="118"/>
  <c r="I32" i="118"/>
  <c r="H32" i="118"/>
  <c r="G32" i="118"/>
  <c r="F32" i="118"/>
  <c r="C32" i="118"/>
  <c r="BZ31" i="118"/>
  <c r="BY31" i="118"/>
  <c r="BX31" i="118"/>
  <c r="BW31" i="118"/>
  <c r="BV31" i="118"/>
  <c r="BU31" i="118"/>
  <c r="BT31" i="118"/>
  <c r="BS31" i="118"/>
  <c r="BR31" i="118"/>
  <c r="BQ31" i="118"/>
  <c r="BP31" i="118"/>
  <c r="BO31" i="118"/>
  <c r="BN31" i="118"/>
  <c r="BM31" i="118"/>
  <c r="BK31" i="118"/>
  <c r="BJ31" i="118"/>
  <c r="BI31" i="118"/>
  <c r="BH31" i="118"/>
  <c r="BG31" i="118"/>
  <c r="BF31" i="118"/>
  <c r="BE31" i="118"/>
  <c r="BD31" i="118"/>
  <c r="BC31" i="118"/>
  <c r="BB31" i="118"/>
  <c r="BA31" i="118"/>
  <c r="AZ31" i="118"/>
  <c r="AY31" i="118"/>
  <c r="AX31" i="118"/>
  <c r="AV31" i="118"/>
  <c r="AU31" i="118"/>
  <c r="AT31" i="118"/>
  <c r="AS31" i="118"/>
  <c r="AR31" i="118"/>
  <c r="AQ31" i="118"/>
  <c r="AP31" i="118"/>
  <c r="AO31" i="118"/>
  <c r="AN31" i="118"/>
  <c r="AM31" i="118"/>
  <c r="AL31" i="118"/>
  <c r="AK31" i="118"/>
  <c r="AJ31" i="118"/>
  <c r="AI31" i="118"/>
  <c r="AG31" i="118"/>
  <c r="AF31" i="118"/>
  <c r="AE31" i="118"/>
  <c r="AD31" i="118"/>
  <c r="AC31" i="118"/>
  <c r="AB31" i="118"/>
  <c r="AA31" i="118"/>
  <c r="Z31" i="118"/>
  <c r="Y31" i="118"/>
  <c r="X31" i="118"/>
  <c r="W31" i="118"/>
  <c r="V31" i="118"/>
  <c r="U31" i="118"/>
  <c r="T31" i="118"/>
  <c r="R31" i="118"/>
  <c r="Q31" i="118"/>
  <c r="P31" i="118"/>
  <c r="O31" i="118"/>
  <c r="N31" i="118"/>
  <c r="M31" i="118"/>
  <c r="L31" i="118"/>
  <c r="K31" i="118"/>
  <c r="J31" i="118"/>
  <c r="I31" i="118"/>
  <c r="H31" i="118"/>
  <c r="G31" i="118"/>
  <c r="F31" i="118"/>
  <c r="E31" i="118"/>
  <c r="C31" i="118"/>
  <c r="B31" i="118"/>
  <c r="BZ30" i="118"/>
  <c r="BY30" i="118"/>
  <c r="BX30" i="118"/>
  <c r="BW30" i="118"/>
  <c r="BV30" i="118"/>
  <c r="BU30" i="118"/>
  <c r="BT30" i="118"/>
  <c r="BS30" i="118"/>
  <c r="BR30" i="118"/>
  <c r="BQ30" i="118"/>
  <c r="BP30" i="118"/>
  <c r="BO30" i="118"/>
  <c r="BN30" i="118"/>
  <c r="BM30" i="118"/>
  <c r="BK30" i="118"/>
  <c r="BJ30" i="118"/>
  <c r="BI30" i="118"/>
  <c r="BH30" i="118"/>
  <c r="BG30" i="118"/>
  <c r="BF30" i="118"/>
  <c r="BE30" i="118"/>
  <c r="BD30" i="118"/>
  <c r="BC30" i="118"/>
  <c r="BB30" i="118"/>
  <c r="BA30" i="118"/>
  <c r="AZ30" i="118"/>
  <c r="AY30" i="118"/>
  <c r="AX30" i="118"/>
  <c r="AV30" i="118"/>
  <c r="AU30" i="118"/>
  <c r="AT30" i="118"/>
  <c r="AS30" i="118"/>
  <c r="AR30" i="118"/>
  <c r="AQ30" i="118"/>
  <c r="AP30" i="118"/>
  <c r="AO30" i="118"/>
  <c r="AN30" i="118"/>
  <c r="AM30" i="118"/>
  <c r="AL30" i="118"/>
  <c r="AK30" i="118"/>
  <c r="AJ30" i="118"/>
  <c r="AI30" i="118"/>
  <c r="AG30" i="118"/>
  <c r="AF30" i="118"/>
  <c r="AE30" i="118"/>
  <c r="AD30" i="118"/>
  <c r="AC30" i="118"/>
  <c r="AB30" i="118"/>
  <c r="AA30" i="118"/>
  <c r="Z30" i="118"/>
  <c r="Y30" i="118"/>
  <c r="X30" i="118"/>
  <c r="W30" i="118"/>
  <c r="V30" i="118"/>
  <c r="U30" i="118"/>
  <c r="T30" i="118"/>
  <c r="R30" i="118"/>
  <c r="Q30" i="118"/>
  <c r="P30" i="118"/>
  <c r="O30" i="118"/>
  <c r="N30" i="118"/>
  <c r="M30" i="118"/>
  <c r="L30" i="118"/>
  <c r="K30" i="118"/>
  <c r="J30" i="118"/>
  <c r="I30" i="118"/>
  <c r="H30" i="118"/>
  <c r="G30" i="118"/>
  <c r="F30" i="118"/>
  <c r="E30" i="118"/>
  <c r="C30" i="118"/>
  <c r="B30" i="118"/>
  <c r="BN28" i="118"/>
  <c r="AY28" i="118"/>
  <c r="AJ28" i="118"/>
  <c r="U28" i="118"/>
  <c r="R28" i="118"/>
  <c r="Q28" i="118"/>
  <c r="P28" i="118"/>
  <c r="O28" i="118"/>
  <c r="N28" i="118"/>
  <c r="M28" i="118"/>
  <c r="L28" i="118"/>
  <c r="K28" i="118"/>
  <c r="J28" i="118"/>
  <c r="I28" i="118"/>
  <c r="H28" i="118"/>
  <c r="G28" i="118"/>
  <c r="F28" i="118"/>
  <c r="C28" i="118"/>
  <c r="AJ27" i="118"/>
  <c r="U27" i="118"/>
  <c r="F27" i="118"/>
  <c r="C27" i="118"/>
  <c r="AJ26" i="118"/>
  <c r="U26" i="118"/>
  <c r="F26" i="118"/>
  <c r="C26" i="118"/>
  <c r="BZ24" i="118"/>
  <c r="BY24" i="118"/>
  <c r="BX24" i="118"/>
  <c r="BW24" i="118"/>
  <c r="BV24" i="118"/>
  <c r="BU24" i="118"/>
  <c r="BT24" i="118"/>
  <c r="BS24" i="118"/>
  <c r="BR24" i="118"/>
  <c r="BQ24" i="118"/>
  <c r="BP24" i="118"/>
  <c r="BO24" i="118"/>
  <c r="BN24" i="118"/>
  <c r="BK24" i="118"/>
  <c r="BJ24" i="118"/>
  <c r="BI24" i="118"/>
  <c r="BH24" i="118"/>
  <c r="BG24" i="118"/>
  <c r="BF24" i="118"/>
  <c r="BE24" i="118"/>
  <c r="BD24" i="118"/>
  <c r="BC24" i="118"/>
  <c r="BB24" i="118"/>
  <c r="BA24" i="118"/>
  <c r="AZ24" i="118"/>
  <c r="AY24" i="118"/>
  <c r="AV24" i="118"/>
  <c r="AU24" i="118"/>
  <c r="AT24" i="118"/>
  <c r="AS24" i="118"/>
  <c r="AR24" i="118"/>
  <c r="AQ24" i="118"/>
  <c r="AP24" i="118"/>
  <c r="AO24" i="118"/>
  <c r="AN24" i="118"/>
  <c r="AM24" i="118"/>
  <c r="AL24" i="118"/>
  <c r="AK24" i="118"/>
  <c r="AJ24" i="118"/>
  <c r="AG24" i="118"/>
  <c r="AF24" i="118"/>
  <c r="AE24" i="118"/>
  <c r="AD24" i="118"/>
  <c r="AC24" i="118"/>
  <c r="AB24" i="118"/>
  <c r="AA24" i="118"/>
  <c r="Z24" i="118"/>
  <c r="Y24" i="118"/>
  <c r="X24" i="118"/>
  <c r="W24" i="118"/>
  <c r="V24" i="118"/>
  <c r="U24" i="118"/>
  <c r="R24" i="118"/>
  <c r="Q24" i="118"/>
  <c r="P24" i="118"/>
  <c r="O24" i="118"/>
  <c r="N24" i="118"/>
  <c r="M24" i="118"/>
  <c r="L24" i="118"/>
  <c r="K24" i="118"/>
  <c r="J24" i="118"/>
  <c r="I24" i="118"/>
  <c r="H24" i="118"/>
  <c r="G24" i="118"/>
  <c r="F24" i="118"/>
  <c r="C24" i="118"/>
  <c r="BZ22" i="118"/>
  <c r="BY22" i="118"/>
  <c r="BX22" i="118"/>
  <c r="BW22" i="118"/>
  <c r="BV22" i="118"/>
  <c r="BU22" i="118"/>
  <c r="BT22" i="118"/>
  <c r="BS22" i="118"/>
  <c r="BR22" i="118"/>
  <c r="BQ22" i="118"/>
  <c r="BP22" i="118"/>
  <c r="BO22" i="118"/>
  <c r="BN22" i="118"/>
  <c r="BK22" i="118"/>
  <c r="BJ22" i="118"/>
  <c r="BI22" i="118"/>
  <c r="BH22" i="118"/>
  <c r="BG22" i="118"/>
  <c r="BF22" i="118"/>
  <c r="BE22" i="118"/>
  <c r="BD22" i="118"/>
  <c r="BC22" i="118"/>
  <c r="BB22" i="118"/>
  <c r="BA22" i="118"/>
  <c r="AZ22" i="118"/>
  <c r="AY22" i="118"/>
  <c r="AV22" i="118"/>
  <c r="AU22" i="118"/>
  <c r="AT22" i="118"/>
  <c r="AS22" i="118"/>
  <c r="AR22" i="118"/>
  <c r="AQ22" i="118"/>
  <c r="AP22" i="118"/>
  <c r="AO22" i="118"/>
  <c r="AN22" i="118"/>
  <c r="AM22" i="118"/>
  <c r="AL22" i="118"/>
  <c r="AK22" i="118"/>
  <c r="AJ22" i="118"/>
  <c r="AG22" i="118"/>
  <c r="AF22" i="118"/>
  <c r="AE22" i="118"/>
  <c r="AD22" i="118"/>
  <c r="AC22" i="118"/>
  <c r="AB22" i="118"/>
  <c r="AA22" i="118"/>
  <c r="Z22" i="118"/>
  <c r="Y22" i="118"/>
  <c r="X22" i="118"/>
  <c r="W22" i="118"/>
  <c r="V22" i="118"/>
  <c r="U22" i="118"/>
  <c r="P22" i="118"/>
  <c r="O22" i="118"/>
  <c r="N22" i="118"/>
  <c r="M22" i="118"/>
  <c r="L22" i="118"/>
  <c r="K22" i="118"/>
  <c r="J22" i="118"/>
  <c r="I22" i="118"/>
  <c r="H22" i="118"/>
  <c r="G22" i="118"/>
  <c r="F22" i="118"/>
  <c r="C22" i="118"/>
  <c r="BN21" i="118"/>
  <c r="AY21" i="118"/>
  <c r="AJ21" i="118"/>
  <c r="U21" i="118"/>
  <c r="F21" i="118"/>
  <c r="C21" i="118"/>
  <c r="BN20" i="118"/>
  <c r="AY20" i="118"/>
  <c r="AJ20" i="118"/>
  <c r="U20" i="118"/>
  <c r="F20" i="118"/>
  <c r="C20" i="118"/>
  <c r="BN19" i="118"/>
  <c r="AY19" i="118"/>
  <c r="AJ19" i="118"/>
  <c r="U19" i="118"/>
  <c r="F19" i="118"/>
  <c r="C19" i="118"/>
  <c r="BT18" i="118"/>
  <c r="BS18" i="118"/>
  <c r="BR18" i="118"/>
  <c r="BQ18" i="118"/>
  <c r="BP18" i="118"/>
  <c r="BN18" i="118"/>
  <c r="BE18" i="118"/>
  <c r="BD18" i="118"/>
  <c r="BC18" i="118"/>
  <c r="BB18" i="118"/>
  <c r="BA18" i="118"/>
  <c r="AY18" i="118"/>
  <c r="AJ18" i="118"/>
  <c r="U18" i="118"/>
  <c r="L18" i="118"/>
  <c r="F18" i="118"/>
  <c r="C18" i="118"/>
  <c r="BN17" i="118"/>
  <c r="AY17" i="118"/>
  <c r="AJ17" i="118"/>
  <c r="U17" i="118"/>
  <c r="L17" i="118"/>
  <c r="K17" i="118"/>
  <c r="F17" i="118"/>
  <c r="C17" i="118"/>
  <c r="BN16" i="118"/>
  <c r="AY16" i="118"/>
  <c r="AJ16" i="118"/>
  <c r="U16" i="118"/>
  <c r="P16" i="118"/>
  <c r="N16" i="118"/>
  <c r="M16" i="118"/>
  <c r="L16" i="118"/>
  <c r="K16" i="118"/>
  <c r="J16" i="118"/>
  <c r="H16" i="118"/>
  <c r="G16" i="118"/>
  <c r="F16" i="118"/>
  <c r="C16" i="118"/>
  <c r="BN15" i="118"/>
  <c r="AY15" i="118"/>
  <c r="AJ15" i="118"/>
  <c r="U15" i="118"/>
  <c r="F15" i="118"/>
  <c r="C15" i="118"/>
  <c r="BZ12" i="118"/>
  <c r="BY12" i="118"/>
  <c r="BX12" i="118"/>
  <c r="BW12" i="118"/>
  <c r="BV12" i="118"/>
  <c r="BU12" i="118"/>
  <c r="BT12" i="118"/>
  <c r="BS12" i="118"/>
  <c r="BR12" i="118"/>
  <c r="BQ12" i="118"/>
  <c r="BP12" i="118"/>
  <c r="BO12" i="118"/>
  <c r="BN12" i="118"/>
  <c r="BK12" i="118"/>
  <c r="BJ12" i="118"/>
  <c r="BI12" i="118"/>
  <c r="BH12" i="118"/>
  <c r="BG12" i="118"/>
  <c r="BF12" i="118"/>
  <c r="BE12" i="118"/>
  <c r="BD12" i="118"/>
  <c r="BC12" i="118"/>
  <c r="BB12" i="118"/>
  <c r="BA12" i="118"/>
  <c r="AZ12" i="118"/>
  <c r="AY12" i="118"/>
  <c r="AV12" i="118"/>
  <c r="AU12" i="118"/>
  <c r="AT12" i="118"/>
  <c r="AS12" i="118"/>
  <c r="AR12" i="118"/>
  <c r="AQ12" i="118"/>
  <c r="AP12" i="118"/>
  <c r="AO12" i="118"/>
  <c r="AN12" i="118"/>
  <c r="AM12" i="118"/>
  <c r="AL12" i="118"/>
  <c r="AK12" i="118"/>
  <c r="AJ12" i="118"/>
  <c r="AG12" i="118"/>
  <c r="AF12" i="118"/>
  <c r="AE12" i="118"/>
  <c r="AD12" i="118"/>
  <c r="AC12" i="118"/>
  <c r="AB12" i="118"/>
  <c r="AA12" i="118"/>
  <c r="Z12" i="118"/>
  <c r="Y12" i="118"/>
  <c r="X12" i="118"/>
  <c r="W12" i="118"/>
  <c r="V12" i="118"/>
  <c r="U12" i="118"/>
  <c r="R12" i="118"/>
  <c r="Q12" i="118"/>
  <c r="P12" i="118"/>
  <c r="O12" i="118"/>
  <c r="N12" i="118"/>
  <c r="M12" i="118"/>
  <c r="L12" i="118"/>
  <c r="K12" i="118"/>
  <c r="J12" i="118"/>
  <c r="I12" i="118"/>
  <c r="H12" i="118"/>
  <c r="G12" i="118"/>
  <c r="F12" i="118"/>
  <c r="C12" i="118"/>
  <c r="BZ10" i="118"/>
  <c r="BY10" i="118"/>
  <c r="BX10" i="118"/>
  <c r="BW10" i="118"/>
  <c r="BV10" i="118"/>
  <c r="BU10" i="118"/>
  <c r="BT10" i="118"/>
  <c r="BS10" i="118"/>
  <c r="BR10" i="118"/>
  <c r="BQ10" i="118"/>
  <c r="BP10" i="118"/>
  <c r="BO10" i="118"/>
  <c r="BN10" i="118"/>
  <c r="BK10" i="118"/>
  <c r="BJ10" i="118"/>
  <c r="BI10" i="118"/>
  <c r="BH10" i="118"/>
  <c r="BG10" i="118"/>
  <c r="BF10" i="118"/>
  <c r="BE10" i="118"/>
  <c r="BD10" i="118"/>
  <c r="BC10" i="118"/>
  <c r="BB10" i="118"/>
  <c r="BA10" i="118"/>
  <c r="AZ10" i="118"/>
  <c r="AY10" i="118"/>
  <c r="AV10" i="118"/>
  <c r="AU10" i="118"/>
  <c r="AT10" i="118"/>
  <c r="AS10" i="118"/>
  <c r="AR10" i="118"/>
  <c r="AQ10" i="118"/>
  <c r="AP10" i="118"/>
  <c r="AO10" i="118"/>
  <c r="AN10" i="118"/>
  <c r="AM10" i="118"/>
  <c r="AL10" i="118"/>
  <c r="AK10" i="118"/>
  <c r="AJ10" i="118"/>
  <c r="AG10" i="118"/>
  <c r="AF10" i="118"/>
  <c r="AE10" i="118"/>
  <c r="AD10" i="118"/>
  <c r="AC10" i="118"/>
  <c r="AB10" i="118"/>
  <c r="AA10" i="118"/>
  <c r="Z10" i="118"/>
  <c r="Y10" i="118"/>
  <c r="X10" i="118"/>
  <c r="W10" i="118"/>
  <c r="V10" i="118"/>
  <c r="U10" i="118"/>
  <c r="C10" i="118"/>
  <c r="BZ9" i="118"/>
  <c r="BY9" i="118"/>
  <c r="BX9" i="118"/>
  <c r="BW9" i="118"/>
  <c r="BV9" i="118"/>
  <c r="BU9" i="118"/>
  <c r="BT9" i="118"/>
  <c r="BS9" i="118"/>
  <c r="BR9" i="118"/>
  <c r="BQ9" i="118"/>
  <c r="BP9" i="118"/>
  <c r="BO9" i="118"/>
  <c r="BN9" i="118"/>
  <c r="BK9" i="118"/>
  <c r="BJ9" i="118"/>
  <c r="BI9" i="118"/>
  <c r="BH9" i="118"/>
  <c r="BG9" i="118"/>
  <c r="BF9" i="118"/>
  <c r="BE9" i="118"/>
  <c r="BD9" i="118"/>
  <c r="BC9" i="118"/>
  <c r="BB9" i="118"/>
  <c r="BA9" i="118"/>
  <c r="AZ9" i="118"/>
  <c r="AY9" i="118"/>
  <c r="AV9" i="118"/>
  <c r="AU9" i="118"/>
  <c r="AT9" i="118"/>
  <c r="AS9" i="118"/>
  <c r="AR9" i="118"/>
  <c r="AQ9" i="118"/>
  <c r="AP9" i="118"/>
  <c r="AO9" i="118"/>
  <c r="AN9" i="118"/>
  <c r="AM9" i="118"/>
  <c r="AL9" i="118"/>
  <c r="AK9" i="118"/>
  <c r="AJ9" i="118"/>
  <c r="AG9" i="118"/>
  <c r="AF9" i="118"/>
  <c r="AE9" i="118"/>
  <c r="AD9" i="118"/>
  <c r="AC9" i="118"/>
  <c r="AB9" i="118"/>
  <c r="AA9" i="118"/>
  <c r="Z9" i="118"/>
  <c r="Y9" i="118"/>
  <c r="X9" i="118"/>
  <c r="W9" i="118"/>
  <c r="V9" i="118"/>
  <c r="U9" i="118"/>
  <c r="F9" i="118"/>
  <c r="C9" i="118"/>
  <c r="BN8" i="118"/>
  <c r="AY8" i="118"/>
  <c r="AJ8" i="118"/>
  <c r="U8" i="118"/>
  <c r="L8" i="118"/>
  <c r="K8" i="118"/>
  <c r="F8" i="118"/>
  <c r="C8" i="118"/>
  <c r="BN7" i="118"/>
  <c r="AY7" i="118"/>
  <c r="AJ7" i="118"/>
  <c r="AB7" i="118"/>
  <c r="U7" i="118"/>
  <c r="F7" i="118"/>
  <c r="C7" i="118"/>
  <c r="BN6" i="118"/>
  <c r="AY6" i="118"/>
  <c r="AJ6" i="118"/>
  <c r="U6" i="118"/>
  <c r="F6" i="118"/>
  <c r="C6" i="118"/>
  <c r="C2" i="118"/>
  <c r="X89" i="119"/>
  <c r="W89" i="119"/>
  <c r="V89" i="119"/>
  <c r="U89" i="119"/>
  <c r="T89" i="119"/>
  <c r="S89" i="119"/>
  <c r="R89" i="119"/>
  <c r="Q89" i="119"/>
  <c r="P89" i="119"/>
  <c r="O89" i="119"/>
  <c r="N89" i="119"/>
  <c r="M89" i="119"/>
  <c r="F87" i="119"/>
  <c r="P69" i="119"/>
  <c r="O69" i="119"/>
  <c r="M69" i="119"/>
  <c r="J66" i="119"/>
  <c r="J93" i="119" s="1"/>
  <c r="X66" i="119"/>
  <c r="T66" i="119"/>
  <c r="S66" i="119"/>
  <c r="P66" i="119"/>
  <c r="M66" i="119"/>
  <c r="X63" i="119"/>
  <c r="X65" i="119" s="1"/>
  <c r="X107" i="119" s="1"/>
  <c r="T63" i="119"/>
  <c r="T65" i="119" s="1"/>
  <c r="T107" i="119" s="1"/>
  <c r="S63" i="119"/>
  <c r="S65" i="119" s="1"/>
  <c r="S107" i="119" s="1"/>
  <c r="P63" i="119"/>
  <c r="P65" i="119" s="1"/>
  <c r="P107" i="119" s="1"/>
  <c r="M63" i="119"/>
  <c r="M65" i="119" s="1"/>
  <c r="M107" i="119" s="1"/>
  <c r="J63" i="119"/>
  <c r="J107" i="119" s="1"/>
  <c r="X60" i="119"/>
  <c r="X62" i="119" s="1"/>
  <c r="X105" i="119" s="1"/>
  <c r="T60" i="119"/>
  <c r="T62" i="119" s="1"/>
  <c r="T105" i="119" s="1"/>
  <c r="S60" i="119"/>
  <c r="S62" i="119" s="1"/>
  <c r="S105" i="119" s="1"/>
  <c r="P60" i="119"/>
  <c r="P62" i="119" s="1"/>
  <c r="P105" i="119" s="1"/>
  <c r="M60" i="119"/>
  <c r="M62" i="119" s="1"/>
  <c r="M105" i="119" s="1"/>
  <c r="J60" i="119"/>
  <c r="J105" i="119" s="1"/>
  <c r="X57" i="119"/>
  <c r="X59" i="119" s="1"/>
  <c r="X103" i="119" s="1"/>
  <c r="T57" i="119"/>
  <c r="T59" i="119" s="1"/>
  <c r="T103" i="119" s="1"/>
  <c r="P57" i="119"/>
  <c r="P59" i="119" s="1"/>
  <c r="P103" i="119" s="1"/>
  <c r="M57" i="119"/>
  <c r="M59" i="119" s="1"/>
  <c r="J57" i="119"/>
  <c r="J103" i="119" s="1"/>
  <c r="J54" i="119"/>
  <c r="J125" i="119" s="1"/>
  <c r="X54" i="119"/>
  <c r="X56" i="119" s="1"/>
  <c r="X125" i="119" s="1"/>
  <c r="T54" i="119"/>
  <c r="T56" i="119" s="1"/>
  <c r="S54" i="119"/>
  <c r="S56" i="119" s="1"/>
  <c r="S125" i="119" s="1"/>
  <c r="P54" i="119"/>
  <c r="P56" i="119" s="1"/>
  <c r="M54" i="119"/>
  <c r="M56" i="119" s="1"/>
  <c r="M125" i="119" s="1"/>
  <c r="L51" i="119"/>
  <c r="R74" i="119"/>
  <c r="J73" i="119" s="1"/>
  <c r="J109" i="119" s="1"/>
  <c r="J82" i="119"/>
  <c r="J123" i="119" s="1"/>
  <c r="X82" i="119"/>
  <c r="X84" i="119" s="1"/>
  <c r="X123" i="119" s="1"/>
  <c r="W82" i="119"/>
  <c r="W84" i="119" s="1"/>
  <c r="W123" i="119" s="1"/>
  <c r="V82" i="119"/>
  <c r="V84" i="119" s="1"/>
  <c r="V123" i="119" s="1"/>
  <c r="U82" i="119"/>
  <c r="U84" i="119" s="1"/>
  <c r="U123" i="119" s="1"/>
  <c r="T82" i="119"/>
  <c r="T84" i="119" s="1"/>
  <c r="T123" i="119" s="1"/>
  <c r="S82" i="119"/>
  <c r="S84" i="119" s="1"/>
  <c r="S123" i="119" s="1"/>
  <c r="R82" i="119"/>
  <c r="R84" i="119" s="1"/>
  <c r="R123" i="119" s="1"/>
  <c r="Q82" i="119"/>
  <c r="Q84" i="119" s="1"/>
  <c r="Q123" i="119" s="1"/>
  <c r="P82" i="119"/>
  <c r="P84" i="119" s="1"/>
  <c r="O82" i="119"/>
  <c r="O84" i="119" s="1"/>
  <c r="O123" i="119" s="1"/>
  <c r="N82" i="119"/>
  <c r="N84" i="119" s="1"/>
  <c r="N123" i="119" s="1"/>
  <c r="M82" i="119"/>
  <c r="J79" i="119"/>
  <c r="J99" i="119" s="1"/>
  <c r="X79" i="119"/>
  <c r="X81" i="119" s="1"/>
  <c r="X99" i="119" s="1"/>
  <c r="W79" i="119"/>
  <c r="W81" i="119" s="1"/>
  <c r="W99" i="119" s="1"/>
  <c r="V79" i="119"/>
  <c r="V81" i="119" s="1"/>
  <c r="V99" i="119" s="1"/>
  <c r="U79" i="119"/>
  <c r="U81" i="119" s="1"/>
  <c r="U99" i="119" s="1"/>
  <c r="T79" i="119"/>
  <c r="T81" i="119" s="1"/>
  <c r="T99" i="119" s="1"/>
  <c r="S79" i="119"/>
  <c r="S81" i="119" s="1"/>
  <c r="S99" i="119" s="1"/>
  <c r="R79" i="119"/>
  <c r="R81" i="119" s="1"/>
  <c r="R99" i="119" s="1"/>
  <c r="Q79" i="119"/>
  <c r="Q81" i="119" s="1"/>
  <c r="Q99" i="119" s="1"/>
  <c r="P79" i="119"/>
  <c r="P81" i="119" s="1"/>
  <c r="P99" i="119" s="1"/>
  <c r="O79" i="119"/>
  <c r="O81" i="119" s="1"/>
  <c r="O99" i="119" s="1"/>
  <c r="N79" i="119"/>
  <c r="N81" i="119" s="1"/>
  <c r="N99" i="119" s="1"/>
  <c r="M79" i="119"/>
  <c r="M81" i="119" s="1"/>
  <c r="M99" i="119" s="1"/>
  <c r="X76" i="119"/>
  <c r="X78" i="119" s="1"/>
  <c r="X95" i="119" s="1"/>
  <c r="W76" i="119"/>
  <c r="W78" i="119" s="1"/>
  <c r="V76" i="119"/>
  <c r="V78" i="119" s="1"/>
  <c r="V95" i="119" s="1"/>
  <c r="U76" i="119"/>
  <c r="U78" i="119" s="1"/>
  <c r="U95" i="119" s="1"/>
  <c r="T76" i="119"/>
  <c r="T78" i="119" s="1"/>
  <c r="T95" i="119" s="1"/>
  <c r="S76" i="119"/>
  <c r="S78" i="119" s="1"/>
  <c r="S95" i="119" s="1"/>
  <c r="R76" i="119"/>
  <c r="R78" i="119" s="1"/>
  <c r="Q76" i="119"/>
  <c r="Q78" i="119" s="1"/>
  <c r="P76" i="119"/>
  <c r="P78" i="119" s="1"/>
  <c r="P95" i="119" s="1"/>
  <c r="O76" i="119"/>
  <c r="N76" i="119"/>
  <c r="N78" i="119" s="1"/>
  <c r="N95" i="119" s="1"/>
  <c r="M76" i="119"/>
  <c r="M78" i="119" s="1"/>
  <c r="M95" i="119" s="1"/>
  <c r="J76" i="119"/>
  <c r="J95" i="119" s="1"/>
  <c r="X50" i="119"/>
  <c r="W50" i="119"/>
  <c r="V50" i="119"/>
  <c r="U50" i="119"/>
  <c r="T50" i="119"/>
  <c r="S50" i="119"/>
  <c r="R50" i="119"/>
  <c r="Q50" i="119"/>
  <c r="P50" i="119"/>
  <c r="O50" i="119"/>
  <c r="N50" i="119"/>
  <c r="M50" i="119"/>
  <c r="X47" i="119"/>
  <c r="X49" i="119" s="1"/>
  <c r="W47" i="119"/>
  <c r="W49" i="119" s="1"/>
  <c r="V47" i="119"/>
  <c r="V49" i="119" s="1"/>
  <c r="U47" i="119"/>
  <c r="U49" i="119" s="1"/>
  <c r="T47" i="119"/>
  <c r="T49" i="119" s="1"/>
  <c r="S47" i="119"/>
  <c r="S49" i="119" s="1"/>
  <c r="R47" i="119"/>
  <c r="R49" i="119" s="1"/>
  <c r="Q47" i="119"/>
  <c r="Q49" i="119" s="1"/>
  <c r="P47" i="119"/>
  <c r="P49" i="119" s="1"/>
  <c r="O47" i="119"/>
  <c r="O49" i="119" s="1"/>
  <c r="N47" i="119"/>
  <c r="N49" i="119" s="1"/>
  <c r="M47" i="119"/>
  <c r="M49" i="119" s="1"/>
  <c r="X45" i="119"/>
  <c r="W45" i="119"/>
  <c r="V45" i="119"/>
  <c r="T45" i="119"/>
  <c r="S45" i="119"/>
  <c r="R45" i="119"/>
  <c r="P45" i="119"/>
  <c r="O45" i="119"/>
  <c r="N45" i="119"/>
  <c r="M45" i="119"/>
  <c r="X44" i="119"/>
  <c r="W44" i="119"/>
  <c r="V44" i="119"/>
  <c r="U44" i="119"/>
  <c r="U46" i="119" s="1"/>
  <c r="T44" i="119"/>
  <c r="S44" i="119"/>
  <c r="R44" i="119"/>
  <c r="Q44" i="119"/>
  <c r="Q46" i="119" s="1"/>
  <c r="P44" i="119"/>
  <c r="O44" i="119"/>
  <c r="N44" i="119"/>
  <c r="X42" i="119"/>
  <c r="W42" i="119"/>
  <c r="V42" i="119"/>
  <c r="T42" i="119"/>
  <c r="S42" i="119"/>
  <c r="X41" i="119"/>
  <c r="X114" i="119" s="1"/>
  <c r="W41" i="119"/>
  <c r="W114" i="119" s="1"/>
  <c r="V41" i="119"/>
  <c r="V114" i="119" s="1"/>
  <c r="U41" i="119"/>
  <c r="T41" i="119"/>
  <c r="T114" i="119" s="1"/>
  <c r="S41" i="119"/>
  <c r="S114" i="119" s="1"/>
  <c r="R41" i="119"/>
  <c r="R114" i="119" s="1"/>
  <c r="Q41" i="119"/>
  <c r="P41" i="119"/>
  <c r="P114" i="119" s="1"/>
  <c r="O41" i="119"/>
  <c r="O114" i="119" s="1"/>
  <c r="N41" i="119"/>
  <c r="N114" i="119" s="1"/>
  <c r="M41" i="119"/>
  <c r="M114" i="119" s="1"/>
  <c r="X39" i="119"/>
  <c r="W39" i="119"/>
  <c r="V39" i="119"/>
  <c r="T39" i="119"/>
  <c r="S39" i="119"/>
  <c r="X38" i="119"/>
  <c r="W38" i="119"/>
  <c r="V38" i="119"/>
  <c r="U38" i="119"/>
  <c r="U40" i="119" s="1"/>
  <c r="T38" i="119"/>
  <c r="S38" i="119"/>
  <c r="R38" i="119"/>
  <c r="Q38" i="119"/>
  <c r="Q40" i="119" s="1"/>
  <c r="P38" i="119"/>
  <c r="N38" i="119"/>
  <c r="M38" i="119"/>
  <c r="M40" i="119" s="1"/>
  <c r="L35" i="119"/>
  <c r="X34" i="119"/>
  <c r="W34" i="119"/>
  <c r="V34" i="119"/>
  <c r="U34" i="119"/>
  <c r="T34" i="119"/>
  <c r="S34" i="119"/>
  <c r="R34" i="119"/>
  <c r="Q34" i="119"/>
  <c r="P34" i="119"/>
  <c r="O34" i="119"/>
  <c r="N34" i="119"/>
  <c r="M34" i="119"/>
  <c r="X31" i="119"/>
  <c r="W31" i="119"/>
  <c r="V31" i="119"/>
  <c r="U31" i="119"/>
  <c r="T31" i="119"/>
  <c r="S31" i="119"/>
  <c r="R31" i="119"/>
  <c r="Q31" i="119"/>
  <c r="P31" i="119"/>
  <c r="O31" i="119"/>
  <c r="N31" i="119"/>
  <c r="M31" i="119"/>
  <c r="X29" i="119"/>
  <c r="W29" i="119"/>
  <c r="V29" i="119"/>
  <c r="U29" i="119"/>
  <c r="T29" i="119"/>
  <c r="S29" i="119"/>
  <c r="R29" i="119"/>
  <c r="Q29" i="119"/>
  <c r="P29" i="119"/>
  <c r="O29" i="119"/>
  <c r="N29" i="119"/>
  <c r="M29" i="119"/>
  <c r="X28" i="119"/>
  <c r="W28" i="119"/>
  <c r="V28" i="119"/>
  <c r="U28" i="119"/>
  <c r="T28" i="119"/>
  <c r="S28" i="119"/>
  <c r="R28" i="119"/>
  <c r="Q28" i="119"/>
  <c r="P28" i="119"/>
  <c r="O28" i="119"/>
  <c r="N28" i="119"/>
  <c r="M28" i="119"/>
  <c r="M100" i="119" s="1"/>
  <c r="W26" i="119"/>
  <c r="V26" i="119"/>
  <c r="U26" i="119"/>
  <c r="T26" i="119"/>
  <c r="S26" i="119"/>
  <c r="R26" i="119"/>
  <c r="Q26" i="119"/>
  <c r="P26" i="119"/>
  <c r="O26" i="119"/>
  <c r="N26" i="119"/>
  <c r="M26" i="119"/>
  <c r="X25" i="119"/>
  <c r="W25" i="119"/>
  <c r="W120" i="119" s="1"/>
  <c r="V25" i="119"/>
  <c r="V120" i="119" s="1"/>
  <c r="U25" i="119"/>
  <c r="U120" i="119" s="1"/>
  <c r="T25" i="119"/>
  <c r="T120" i="119" s="1"/>
  <c r="S25" i="119"/>
  <c r="S120" i="119" s="1"/>
  <c r="R25" i="119"/>
  <c r="R120" i="119" s="1"/>
  <c r="Q25" i="119"/>
  <c r="Q120" i="119" s="1"/>
  <c r="P25" i="119"/>
  <c r="P120" i="119" s="1"/>
  <c r="O25" i="119"/>
  <c r="O120" i="119" s="1"/>
  <c r="N25" i="119"/>
  <c r="N120" i="119" s="1"/>
  <c r="M25" i="119"/>
  <c r="M120" i="119" s="1"/>
  <c r="S23" i="119"/>
  <c r="X22" i="119"/>
  <c r="W22" i="119"/>
  <c r="V22" i="119"/>
  <c r="U22" i="119"/>
  <c r="T22" i="119"/>
  <c r="S22" i="119"/>
  <c r="S112" i="119" s="1"/>
  <c r="R22" i="119"/>
  <c r="R112" i="119" s="1"/>
  <c r="Q22" i="119"/>
  <c r="Q112" i="119" s="1"/>
  <c r="P22" i="119"/>
  <c r="P112" i="119" s="1"/>
  <c r="O22" i="119"/>
  <c r="O112" i="119" s="1"/>
  <c r="N22" i="119"/>
  <c r="N112" i="119" s="1"/>
  <c r="M22" i="119"/>
  <c r="M112" i="119" s="1"/>
  <c r="X20" i="119"/>
  <c r="W20" i="119"/>
  <c r="V20" i="119"/>
  <c r="U20" i="119"/>
  <c r="T20" i="119"/>
  <c r="S20" i="119"/>
  <c r="R20" i="119"/>
  <c r="Q20" i="119"/>
  <c r="P20" i="119"/>
  <c r="O20" i="119"/>
  <c r="N20" i="119"/>
  <c r="M20" i="119"/>
  <c r="X19" i="119"/>
  <c r="X116" i="119" s="1"/>
  <c r="W19" i="119"/>
  <c r="W116" i="119" s="1"/>
  <c r="V19" i="119"/>
  <c r="V116" i="119" s="1"/>
  <c r="U19" i="119"/>
  <c r="U116" i="119" s="1"/>
  <c r="T19" i="119"/>
  <c r="T116" i="119" s="1"/>
  <c r="S19" i="119"/>
  <c r="S116" i="119" s="1"/>
  <c r="R19" i="119"/>
  <c r="R116" i="119" s="1"/>
  <c r="Q19" i="119"/>
  <c r="Q116" i="119" s="1"/>
  <c r="P19" i="119"/>
  <c r="P116" i="119" s="1"/>
  <c r="O19" i="119"/>
  <c r="O116" i="119" s="1"/>
  <c r="N19" i="119"/>
  <c r="N116" i="119" s="1"/>
  <c r="M19" i="119"/>
  <c r="M116" i="119" s="1"/>
  <c r="X17" i="119"/>
  <c r="W17" i="119"/>
  <c r="V17" i="119"/>
  <c r="U17" i="119"/>
  <c r="T17" i="119"/>
  <c r="S17" i="119"/>
  <c r="X16" i="119"/>
  <c r="W16" i="119"/>
  <c r="V16" i="119"/>
  <c r="U16" i="119"/>
  <c r="T16" i="119"/>
  <c r="S16" i="119"/>
  <c r="R16" i="119"/>
  <c r="Q16" i="119"/>
  <c r="P16" i="119"/>
  <c r="O16" i="119"/>
  <c r="N16" i="119"/>
  <c r="M16" i="119"/>
  <c r="W14" i="119"/>
  <c r="V14" i="119"/>
  <c r="U14" i="119"/>
  <c r="T14" i="119"/>
  <c r="S14" i="119"/>
  <c r="R14" i="119"/>
  <c r="Q14" i="119"/>
  <c r="P14" i="119"/>
  <c r="O14" i="119"/>
  <c r="N14" i="119"/>
  <c r="M14" i="119"/>
  <c r="X13" i="119"/>
  <c r="W13" i="119"/>
  <c r="W118" i="119" s="1"/>
  <c r="V13" i="119"/>
  <c r="V118" i="119" s="1"/>
  <c r="U13" i="119"/>
  <c r="U118" i="119" s="1"/>
  <c r="T13" i="119"/>
  <c r="T118" i="119" s="1"/>
  <c r="S13" i="119"/>
  <c r="S118" i="119" s="1"/>
  <c r="R13" i="119"/>
  <c r="R118" i="119" s="1"/>
  <c r="Q13" i="119"/>
  <c r="Q118" i="119" s="1"/>
  <c r="P13" i="119"/>
  <c r="P118" i="119" s="1"/>
  <c r="O13" i="119"/>
  <c r="O118" i="119" s="1"/>
  <c r="N13" i="119"/>
  <c r="N118" i="119" s="1"/>
  <c r="M118" i="119"/>
  <c r="L10" i="119"/>
  <c r="X7" i="119"/>
  <c r="W7" i="119"/>
  <c r="V7" i="119"/>
  <c r="U7" i="119"/>
  <c r="T7" i="119"/>
  <c r="S7" i="119"/>
  <c r="R7" i="119"/>
  <c r="Q7" i="119"/>
  <c r="P7" i="119"/>
  <c r="O7" i="119"/>
  <c r="N7" i="119"/>
  <c r="M7" i="119"/>
  <c r="F5" i="119"/>
  <c r="P30" i="97"/>
  <c r="P32" i="97"/>
  <c r="P33" i="97"/>
  <c r="R14" i="97"/>
  <c r="R40" i="97"/>
  <c r="R41" i="97"/>
  <c r="I9" i="115"/>
  <c r="J9" i="115"/>
  <c r="L9" i="115"/>
  <c r="R42" i="97"/>
  <c r="I14" i="115"/>
  <c r="J14" i="115"/>
  <c r="L14" i="115"/>
  <c r="R43" i="97"/>
  <c r="I37" i="115"/>
  <c r="J37" i="115"/>
  <c r="L37" i="115"/>
  <c r="R9" i="97"/>
  <c r="I30" i="115"/>
  <c r="J30" i="115"/>
  <c r="P30" i="115"/>
  <c r="H42" i="115"/>
  <c r="J42" i="115"/>
  <c r="L42" i="115"/>
  <c r="R7" i="97"/>
  <c r="R47" i="97"/>
  <c r="I26" i="115"/>
  <c r="J26" i="115"/>
  <c r="P26" i="115"/>
  <c r="R48" i="97"/>
  <c r="I6" i="115"/>
  <c r="J6" i="115"/>
  <c r="L6" i="115"/>
  <c r="H43" i="115"/>
  <c r="J43" i="115"/>
  <c r="L43" i="115"/>
  <c r="R31" i="97"/>
  <c r="I24" i="115"/>
  <c r="J24" i="115"/>
  <c r="L24" i="115"/>
  <c r="R32" i="97"/>
  <c r="I7" i="115"/>
  <c r="J7" i="115"/>
  <c r="L7" i="115"/>
  <c r="R33" i="97"/>
  <c r="I17" i="115"/>
  <c r="J17" i="115"/>
  <c r="L17" i="115"/>
  <c r="R34" i="97"/>
  <c r="I23" i="115"/>
  <c r="J23" i="115"/>
  <c r="P23" i="115"/>
  <c r="R35" i="97"/>
  <c r="I18" i="115"/>
  <c r="J18" i="115"/>
  <c r="L18" i="115"/>
  <c r="R16" i="97"/>
  <c r="R36" i="97"/>
  <c r="R50" i="97"/>
  <c r="H40" i="115"/>
  <c r="J40" i="115"/>
  <c r="L40" i="115"/>
  <c r="H44" i="115"/>
  <c r="J44" i="115"/>
  <c r="L44" i="115"/>
  <c r="R21" i="97"/>
  <c r="H39" i="115"/>
  <c r="J39" i="115"/>
  <c r="L39" i="115"/>
  <c r="R6" i="97"/>
  <c r="I33" i="115"/>
  <c r="J33" i="115"/>
  <c r="P33" i="115"/>
  <c r="R8" i="97"/>
  <c r="I32" i="115"/>
  <c r="J32" i="115"/>
  <c r="P32" i="115"/>
  <c r="R10" i="97"/>
  <c r="I35" i="115"/>
  <c r="J35" i="115"/>
  <c r="L35" i="115"/>
  <c r="R45" i="97"/>
  <c r="R12" i="97"/>
  <c r="I11" i="115"/>
  <c r="J11" i="115"/>
  <c r="L11" i="115"/>
  <c r="R18" i="97"/>
  <c r="I15" i="115"/>
  <c r="J15" i="115"/>
  <c r="L15" i="115"/>
  <c r="H41" i="115"/>
  <c r="R17" i="97"/>
  <c r="Q310" i="79"/>
  <c r="S56" i="105"/>
  <c r="X54" i="105"/>
  <c r="S53" i="105"/>
  <c r="S55" i="105"/>
  <c r="D7" i="120"/>
  <c r="D9" i="120"/>
  <c r="O9" i="120"/>
  <c r="I12" i="120"/>
  <c r="O12" i="120"/>
  <c r="I41" i="120"/>
  <c r="G21" i="120"/>
  <c r="V31" i="120"/>
  <c r="I7" i="120"/>
  <c r="O7" i="120"/>
  <c r="I10" i="120"/>
  <c r="O10" i="120"/>
  <c r="I32" i="120"/>
  <c r="H32" i="120"/>
  <c r="G32" i="120"/>
  <c r="R44" i="120"/>
  <c r="O29" i="120"/>
  <c r="M34" i="120"/>
  <c r="O34" i="120"/>
  <c r="I11" i="120"/>
  <c r="O11" i="120"/>
  <c r="I6" i="120"/>
  <c r="O6" i="120"/>
  <c r="I8" i="120"/>
  <c r="O8" i="120"/>
  <c r="I30" i="120"/>
  <c r="H30" i="120"/>
  <c r="A30" i="120"/>
  <c r="I33" i="120"/>
  <c r="H33" i="120"/>
  <c r="G33" i="120"/>
  <c r="H41" i="120"/>
  <c r="G41" i="120"/>
  <c r="G22" i="120"/>
  <c r="H6" i="120"/>
  <c r="G6" i="120"/>
  <c r="V12" i="120"/>
  <c r="G19" i="120"/>
  <c r="R7" i="120"/>
  <c r="V21" i="120"/>
  <c r="T46" i="120"/>
  <c r="H45" i="120"/>
  <c r="G45" i="120"/>
  <c r="D22" i="120"/>
  <c r="V43" i="120"/>
  <c r="I45" i="120"/>
  <c r="I44" i="120"/>
  <c r="H44" i="120"/>
  <c r="G44" i="120"/>
  <c r="D10" i="120"/>
  <c r="V10" i="120"/>
  <c r="V30" i="120"/>
  <c r="F10" i="120"/>
  <c r="H11" i="120"/>
  <c r="G11" i="120"/>
  <c r="T23" i="120"/>
  <c r="I21" i="120"/>
  <c r="I31" i="120"/>
  <c r="H31" i="120"/>
  <c r="G31" i="120"/>
  <c r="H10" i="120"/>
  <c r="G10" i="120"/>
  <c r="T34" i="120"/>
  <c r="G43" i="120"/>
  <c r="F9" i="120"/>
  <c r="M13" i="120"/>
  <c r="R22" i="120"/>
  <c r="V29" i="120"/>
  <c r="I34" i="120"/>
  <c r="H34" i="120"/>
  <c r="G34" i="120"/>
  <c r="E30" i="120"/>
  <c r="E32" i="120"/>
  <c r="D6" i="120"/>
  <c r="H7" i="120"/>
  <c r="G7" i="120"/>
  <c r="V9" i="120"/>
  <c r="D11" i="120"/>
  <c r="R11" i="120"/>
  <c r="H12" i="120"/>
  <c r="G12" i="120"/>
  <c r="R19" i="120"/>
  <c r="R23" i="120" s="1"/>
  <c r="V20" i="120"/>
  <c r="I29" i="120"/>
  <c r="H29" i="120"/>
  <c r="R41" i="120"/>
  <c r="R47" i="120"/>
  <c r="D8" i="120"/>
  <c r="R8" i="120"/>
  <c r="H9" i="120"/>
  <c r="G9" i="120"/>
  <c r="F19" i="120"/>
  <c r="H20" i="120"/>
  <c r="G20" i="120"/>
  <c r="V40" i="120"/>
  <c r="R42" i="120"/>
  <c r="F6" i="120"/>
  <c r="V6" i="120"/>
  <c r="I9" i="120"/>
  <c r="R10" i="120"/>
  <c r="F11" i="120"/>
  <c r="V11" i="120"/>
  <c r="I20" i="120"/>
  <c r="D21" i="120"/>
  <c r="B20" i="120"/>
  <c r="R24" i="120"/>
  <c r="V32" i="120"/>
  <c r="H40" i="120"/>
  <c r="G40" i="120"/>
  <c r="F8" i="120"/>
  <c r="V8" i="120"/>
  <c r="R21" i="120"/>
  <c r="V33" i="120"/>
  <c r="I40" i="120"/>
  <c r="R43" i="120"/>
  <c r="H8" i="120"/>
  <c r="G8" i="120"/>
  <c r="R9" i="120"/>
  <c r="R14" i="120"/>
  <c r="I42" i="120"/>
  <c r="H42" i="120"/>
  <c r="G42" i="120"/>
  <c r="R45" i="120"/>
  <c r="U69" i="97"/>
  <c r="O27" i="97"/>
  <c r="R23" i="97"/>
  <c r="I38" i="115"/>
  <c r="J38" i="115"/>
  <c r="L38" i="115"/>
  <c r="R27" i="97"/>
  <c r="I8" i="115"/>
  <c r="J8" i="115"/>
  <c r="L8" i="115"/>
  <c r="R29" i="97"/>
  <c r="R35" i="120"/>
  <c r="R24" i="97"/>
  <c r="I19" i="115"/>
  <c r="J19" i="115"/>
  <c r="L19" i="115"/>
  <c r="R25" i="97"/>
  <c r="I20" i="115"/>
  <c r="J20" i="115"/>
  <c r="L20" i="115"/>
  <c r="L21" i="115"/>
  <c r="L28" i="115"/>
  <c r="P106" i="97"/>
  <c r="P107" i="97"/>
  <c r="P108" i="97"/>
  <c r="P109" i="97"/>
  <c r="O23" i="97"/>
  <c r="U26" i="97"/>
  <c r="P46" i="97"/>
  <c r="P48" i="97"/>
  <c r="P49" i="97"/>
  <c r="P51" i="97"/>
  <c r="P53" i="97"/>
  <c r="P54" i="97"/>
  <c r="P55" i="97"/>
  <c r="P99" i="97"/>
  <c r="P101" i="97"/>
  <c r="P102" i="97"/>
  <c r="P103" i="97"/>
  <c r="P84" i="97"/>
  <c r="P86" i="97"/>
  <c r="P87" i="97"/>
  <c r="P88" i="97"/>
  <c r="L27" i="115"/>
  <c r="P27" i="115"/>
  <c r="P5" i="97"/>
  <c r="P61" i="97"/>
  <c r="P90" i="97"/>
  <c r="P15" i="97"/>
  <c r="P68" i="97"/>
  <c r="P75" i="97"/>
  <c r="P25" i="115"/>
  <c r="N32" i="115"/>
  <c r="L34" i="115"/>
  <c r="U24" i="97"/>
  <c r="O25" i="97"/>
  <c r="N29" i="115"/>
  <c r="I22" i="115"/>
  <c r="J22" i="115"/>
  <c r="L22" i="115"/>
  <c r="I29" i="115"/>
  <c r="J29" i="115"/>
  <c r="L29" i="115"/>
  <c r="L30" i="115"/>
  <c r="L23" i="115"/>
  <c r="P43" i="115"/>
  <c r="L32" i="115"/>
  <c r="P24" i="115"/>
  <c r="H2" i="115"/>
  <c r="P35" i="115"/>
  <c r="R37" i="97"/>
  <c r="P7" i="115"/>
  <c r="P17" i="115"/>
  <c r="I10" i="115"/>
  <c r="J10" i="115"/>
  <c r="L10" i="115"/>
  <c r="L26" i="115"/>
  <c r="J41" i="115"/>
  <c r="L41" i="115"/>
  <c r="R13" i="97"/>
  <c r="P22" i="115"/>
  <c r="P11" i="115"/>
  <c r="L33" i="115"/>
  <c r="I31" i="115"/>
  <c r="J31" i="115"/>
  <c r="R20" i="97"/>
  <c r="A33" i="120"/>
  <c r="A32" i="120"/>
  <c r="P28" i="120"/>
  <c r="P30" i="120"/>
  <c r="G30" i="120"/>
  <c r="F12" i="120"/>
  <c r="F13" i="120"/>
  <c r="E6" i="120"/>
  <c r="O13" i="120"/>
  <c r="P5" i="120"/>
  <c r="P7" i="120"/>
  <c r="P8" i="120"/>
  <c r="P9" i="120"/>
  <c r="U18" i="120"/>
  <c r="R46" i="120"/>
  <c r="A31" i="120"/>
  <c r="E31" i="120"/>
  <c r="V13" i="120"/>
  <c r="D13" i="120"/>
  <c r="D14" i="120"/>
  <c r="I13" i="120"/>
  <c r="A34" i="120"/>
  <c r="I23" i="120"/>
  <c r="V23" i="120"/>
  <c r="D23" i="120"/>
  <c r="F22" i="120"/>
  <c r="F23" i="120"/>
  <c r="E19" i="120"/>
  <c r="B11" i="120"/>
  <c r="V34" i="120"/>
  <c r="G29" i="120"/>
  <c r="E29" i="120"/>
  <c r="A29" i="120"/>
  <c r="U84" i="97"/>
  <c r="N2" i="115"/>
  <c r="P8" i="115"/>
  <c r="U46" i="97"/>
  <c r="P38" i="115"/>
  <c r="R28" i="97"/>
  <c r="P22" i="97"/>
  <c r="P24" i="97"/>
  <c r="P25" i="97"/>
  <c r="P26" i="97"/>
  <c r="U51" i="97"/>
  <c r="U106" i="97"/>
  <c r="U99" i="97"/>
  <c r="P7" i="97"/>
  <c r="P8" i="97"/>
  <c r="P9" i="97"/>
  <c r="U5" i="97"/>
  <c r="U39" i="97"/>
  <c r="P70" i="97"/>
  <c r="P71" i="97"/>
  <c r="P72" i="97"/>
  <c r="U68" i="97"/>
  <c r="P63" i="97"/>
  <c r="P64" i="97"/>
  <c r="P65" i="97"/>
  <c r="U61" i="97"/>
  <c r="P34" i="97"/>
  <c r="U30" i="97"/>
  <c r="P17" i="97"/>
  <c r="P18" i="97"/>
  <c r="P19" i="97"/>
  <c r="U15" i="97"/>
  <c r="U75" i="97"/>
  <c r="P77" i="97"/>
  <c r="P78" i="97"/>
  <c r="P79" i="97"/>
  <c r="U90" i="97"/>
  <c r="P92" i="97"/>
  <c r="P93" i="97"/>
  <c r="P94" i="97"/>
  <c r="P29" i="115"/>
  <c r="I5" i="115"/>
  <c r="I2" i="115"/>
  <c r="L31" i="115"/>
  <c r="P31" i="115"/>
  <c r="P31" i="120"/>
  <c r="P32" i="120"/>
  <c r="U39" i="120"/>
  <c r="C6" i="120"/>
  <c r="C11" i="120"/>
  <c r="E8" i="120"/>
  <c r="U5" i="120"/>
  <c r="E22" i="120"/>
  <c r="E21" i="120"/>
  <c r="E20" i="120"/>
  <c r="E11" i="120"/>
  <c r="U28" i="120"/>
  <c r="E7" i="120"/>
  <c r="E9" i="120"/>
  <c r="E12" i="120"/>
  <c r="E10" i="120"/>
  <c r="C10" i="120"/>
  <c r="C12" i="120"/>
  <c r="C7" i="120"/>
  <c r="C9" i="120"/>
  <c r="C8" i="120"/>
  <c r="C13" i="120"/>
  <c r="D24" i="120"/>
  <c r="C23" i="120"/>
  <c r="U22" i="97"/>
  <c r="J5" i="115"/>
  <c r="L5" i="115"/>
  <c r="E23" i="120"/>
  <c r="C14" i="120"/>
  <c r="E13" i="120"/>
  <c r="C22" i="120"/>
  <c r="C20" i="120"/>
  <c r="C19" i="120"/>
  <c r="C21" i="120"/>
  <c r="P5" i="115"/>
  <c r="J2" i="115"/>
  <c r="C24" i="120"/>
  <c r="R13" i="120" l="1"/>
  <c r="M18" i="119"/>
  <c r="M111" i="119" s="1"/>
  <c r="M110" i="119"/>
  <c r="P100" i="119"/>
  <c r="X33" i="119"/>
  <c r="X97" i="119" s="1"/>
  <c r="X96" i="119"/>
  <c r="Q33" i="119"/>
  <c r="Q97" i="119" s="1"/>
  <c r="Q96" i="119"/>
  <c r="R33" i="119"/>
  <c r="R97" i="119" s="1"/>
  <c r="R96" i="119"/>
  <c r="P33" i="119"/>
  <c r="P97" i="119" s="1"/>
  <c r="P96" i="119"/>
  <c r="S33" i="119"/>
  <c r="S97" i="119" s="1"/>
  <c r="S96" i="119"/>
  <c r="M33" i="119"/>
  <c r="M97" i="119" s="1"/>
  <c r="M96" i="119"/>
  <c r="U33" i="119"/>
  <c r="U97" i="119" s="1"/>
  <c r="U96" i="119"/>
  <c r="N100" i="119"/>
  <c r="N33" i="119"/>
  <c r="N97" i="119" s="1"/>
  <c r="N96" i="119"/>
  <c r="V33" i="119"/>
  <c r="V97" i="119" s="1"/>
  <c r="V96" i="119"/>
  <c r="T33" i="119"/>
  <c r="T97" i="119" s="1"/>
  <c r="T96" i="119"/>
  <c r="O100" i="119"/>
  <c r="O33" i="119"/>
  <c r="O97" i="119" s="1"/>
  <c r="O96" i="119"/>
  <c r="W33" i="119"/>
  <c r="W96" i="119"/>
  <c r="R151" i="119"/>
  <c r="R153" i="119" s="1"/>
  <c r="D13" i="135"/>
  <c r="A13" i="135" s="1"/>
  <c r="R13" i="135"/>
  <c r="L13" i="135"/>
  <c r="N14" i="135" s="1"/>
  <c r="L17" i="135"/>
  <c r="D17" i="135" s="1"/>
  <c r="H13" i="135"/>
  <c r="J14" i="135" s="1"/>
  <c r="L16" i="135"/>
  <c r="D16" i="135" s="1"/>
  <c r="A16" i="135" s="1"/>
  <c r="N13" i="135"/>
  <c r="S7" i="134"/>
  <c r="AA237" i="134"/>
  <c r="X9" i="134"/>
  <c r="T7" i="134"/>
  <c r="X13" i="134"/>
  <c r="AA13" i="134" s="1"/>
  <c r="AA239" i="134"/>
  <c r="AA247" i="134"/>
  <c r="L18" i="135"/>
  <c r="D18" i="135" s="1"/>
  <c r="P13" i="135"/>
  <c r="Y7" i="134"/>
  <c r="AA244" i="134"/>
  <c r="X11" i="134"/>
  <c r="AA11" i="134" s="1"/>
  <c r="J13" i="135"/>
  <c r="AA252" i="134"/>
  <c r="P7" i="134"/>
  <c r="F14" i="135"/>
  <c r="AA246" i="134"/>
  <c r="AA241" i="134"/>
  <c r="X10" i="134"/>
  <c r="AA10" i="134" s="1"/>
  <c r="Q7" i="134"/>
  <c r="R7" i="134"/>
  <c r="X17" i="134"/>
  <c r="AA17" i="134" s="1"/>
  <c r="X24" i="134"/>
  <c r="AA24" i="134" s="1"/>
  <c r="X25" i="134"/>
  <c r="AA25" i="134" s="1"/>
  <c r="X26" i="134"/>
  <c r="AA26" i="134" s="1"/>
  <c r="AA238" i="134"/>
  <c r="AA249" i="134"/>
  <c r="R9" i="79"/>
  <c r="Q9" i="79"/>
  <c r="P8" i="79"/>
  <c r="P7" i="79" s="1"/>
  <c r="M175" i="119"/>
  <c r="M177" i="119" s="1"/>
  <c r="V100" i="119"/>
  <c r="Q110" i="119"/>
  <c r="U100" i="119"/>
  <c r="O110" i="119"/>
  <c r="W110" i="119"/>
  <c r="P110" i="119"/>
  <c r="X110" i="119"/>
  <c r="W100" i="119"/>
  <c r="S110" i="119"/>
  <c r="S100" i="119"/>
  <c r="T100" i="119"/>
  <c r="U139" i="119"/>
  <c r="U141" i="119" s="1"/>
  <c r="I34" i="119"/>
  <c r="R110" i="119"/>
  <c r="X27" i="119"/>
  <c r="X121" i="119" s="1"/>
  <c r="X120" i="119"/>
  <c r="L120" i="119" s="1"/>
  <c r="X15" i="119"/>
  <c r="X119" i="119" s="1"/>
  <c r="X118" i="119"/>
  <c r="L118" i="119" s="1"/>
  <c r="R100" i="119"/>
  <c r="L116" i="119"/>
  <c r="N110" i="119"/>
  <c r="V110" i="119"/>
  <c r="L105" i="119"/>
  <c r="Q43" i="119"/>
  <c r="Q115" i="119" s="1"/>
  <c r="Q114" i="119"/>
  <c r="U43" i="119"/>
  <c r="U115" i="119" s="1"/>
  <c r="U114" i="119"/>
  <c r="W24" i="119"/>
  <c r="W113" i="119" s="1"/>
  <c r="W112" i="119"/>
  <c r="X24" i="119"/>
  <c r="X113" i="119" s="1"/>
  <c r="X112" i="119"/>
  <c r="T24" i="119"/>
  <c r="T113" i="119" s="1"/>
  <c r="T112" i="119"/>
  <c r="U24" i="119"/>
  <c r="U113" i="119" s="1"/>
  <c r="U112" i="119"/>
  <c r="V24" i="119"/>
  <c r="V113" i="119" s="1"/>
  <c r="V112" i="119"/>
  <c r="T110" i="119"/>
  <c r="U110" i="119"/>
  <c r="X100" i="119"/>
  <c r="Q100" i="119"/>
  <c r="L107" i="119"/>
  <c r="N68" i="119"/>
  <c r="N93" i="119" s="1"/>
  <c r="N92" i="119"/>
  <c r="U68" i="119"/>
  <c r="U93" i="119" s="1"/>
  <c r="U92" i="119"/>
  <c r="M68" i="119"/>
  <c r="M93" i="119" s="1"/>
  <c r="M92" i="119"/>
  <c r="O68" i="119"/>
  <c r="O93" i="119" s="1"/>
  <c r="O92" i="119"/>
  <c r="P68" i="119"/>
  <c r="P93" i="119" s="1"/>
  <c r="P92" i="119"/>
  <c r="Q68" i="119"/>
  <c r="Q93" i="119" s="1"/>
  <c r="Q92" i="119"/>
  <c r="S68" i="119"/>
  <c r="S93" i="119" s="1"/>
  <c r="S92" i="119"/>
  <c r="R68" i="119"/>
  <c r="R93" i="119" s="1"/>
  <c r="R92" i="119"/>
  <c r="T68" i="119"/>
  <c r="T93" i="119" s="1"/>
  <c r="T92" i="119"/>
  <c r="X68" i="119"/>
  <c r="X93" i="119" s="1"/>
  <c r="X92" i="119"/>
  <c r="W68" i="119"/>
  <c r="W93" i="119" s="1"/>
  <c r="W92" i="119"/>
  <c r="V68" i="119"/>
  <c r="V93" i="119" s="1"/>
  <c r="V92" i="119"/>
  <c r="J166" i="119"/>
  <c r="M154" i="119"/>
  <c r="M156" i="119" s="1"/>
  <c r="U154" i="119"/>
  <c r="U156" i="119" s="1"/>
  <c r="T154" i="119"/>
  <c r="T156" i="119" s="1"/>
  <c r="R56" i="119"/>
  <c r="R125" i="119" s="1"/>
  <c r="R40" i="119"/>
  <c r="T43" i="119"/>
  <c r="T115" i="119" s="1"/>
  <c r="J154" i="119"/>
  <c r="U166" i="119"/>
  <c r="U168" i="119" s="1"/>
  <c r="N15" i="119"/>
  <c r="N119" i="119" s="1"/>
  <c r="V15" i="119"/>
  <c r="V119" i="119" s="1"/>
  <c r="O18" i="119"/>
  <c r="W18" i="119"/>
  <c r="O21" i="119"/>
  <c r="O117" i="119" s="1"/>
  <c r="W21" i="119"/>
  <c r="W117" i="119" s="1"/>
  <c r="O24" i="119"/>
  <c r="O113" i="119" s="1"/>
  <c r="T27" i="119"/>
  <c r="T121" i="119" s="1"/>
  <c r="U30" i="119"/>
  <c r="U101" i="119" s="1"/>
  <c r="O15" i="119"/>
  <c r="O119" i="119" s="1"/>
  <c r="W15" i="119"/>
  <c r="W119" i="119" s="1"/>
  <c r="P18" i="119"/>
  <c r="X18" i="119"/>
  <c r="P21" i="119"/>
  <c r="P117" i="119" s="1"/>
  <c r="X21" i="119"/>
  <c r="X117" i="119" s="1"/>
  <c r="P24" i="119"/>
  <c r="P113" i="119" s="1"/>
  <c r="M27" i="119"/>
  <c r="M121" i="119" s="1"/>
  <c r="U27" i="119"/>
  <c r="U121" i="119" s="1"/>
  <c r="N30" i="119"/>
  <c r="V30" i="119"/>
  <c r="O43" i="119"/>
  <c r="O115" i="119" s="1"/>
  <c r="V40" i="119"/>
  <c r="X43" i="119"/>
  <c r="X115" i="119" s="1"/>
  <c r="R46" i="119"/>
  <c r="W40" i="119"/>
  <c r="X30" i="119"/>
  <c r="W46" i="119"/>
  <c r="I175" i="119"/>
  <c r="J142" i="119"/>
  <c r="M139" i="119"/>
  <c r="M141" i="119" s="1"/>
  <c r="J13" i="119"/>
  <c r="J119" i="119" s="1"/>
  <c r="R15" i="119"/>
  <c r="R119" i="119" s="1"/>
  <c r="S18" i="119"/>
  <c r="S21" i="119"/>
  <c r="S117" i="119" s="1"/>
  <c r="S24" i="119"/>
  <c r="S113" i="119" s="1"/>
  <c r="P27" i="119"/>
  <c r="P121" i="119" s="1"/>
  <c r="Q30" i="119"/>
  <c r="Q101" i="119" s="1"/>
  <c r="P40" i="119"/>
  <c r="I151" i="119"/>
  <c r="S43" i="119"/>
  <c r="S115" i="119" s="1"/>
  <c r="I163" i="119"/>
  <c r="V46" i="119"/>
  <c r="W151" i="119"/>
  <c r="W153" i="119" s="1"/>
  <c r="N43" i="119"/>
  <c r="N115" i="119" s="1"/>
  <c r="O151" i="119"/>
  <c r="O153" i="119" s="1"/>
  <c r="M172" i="119"/>
  <c r="M174" i="119" s="1"/>
  <c r="P15" i="119"/>
  <c r="P119" i="119" s="1"/>
  <c r="Q18" i="119"/>
  <c r="Q111" i="119" s="1"/>
  <c r="J16" i="119"/>
  <c r="Q21" i="119"/>
  <c r="Q117" i="119" s="1"/>
  <c r="J19" i="119"/>
  <c r="J117" i="119" s="1"/>
  <c r="Q24" i="119"/>
  <c r="Q113" i="119" s="1"/>
  <c r="J22" i="119"/>
  <c r="J113" i="119" s="1"/>
  <c r="N27" i="119"/>
  <c r="N121" i="119" s="1"/>
  <c r="V27" i="119"/>
  <c r="V121" i="119" s="1"/>
  <c r="J25" i="119"/>
  <c r="J121" i="119" s="1"/>
  <c r="O30" i="119"/>
  <c r="W30" i="119"/>
  <c r="J28" i="119"/>
  <c r="N40" i="119"/>
  <c r="J38" i="119"/>
  <c r="J111" i="119" s="1"/>
  <c r="J44" i="119"/>
  <c r="J101" i="119" s="1"/>
  <c r="U142" i="119"/>
  <c r="U144" i="119" s="1"/>
  <c r="W27" i="119"/>
  <c r="W121" i="119" s="1"/>
  <c r="J41" i="119"/>
  <c r="J115" i="119" s="1"/>
  <c r="S46" i="119"/>
  <c r="R24" i="119"/>
  <c r="R113" i="119" s="1"/>
  <c r="O40" i="119"/>
  <c r="X40" i="119"/>
  <c r="R43" i="119"/>
  <c r="R115" i="119" s="1"/>
  <c r="T46" i="119"/>
  <c r="Q15" i="119"/>
  <c r="Q119" i="119" s="1"/>
  <c r="R18" i="119"/>
  <c r="R21" i="119"/>
  <c r="R117" i="119" s="1"/>
  <c r="O27" i="119"/>
  <c r="O121" i="119" s="1"/>
  <c r="P30" i="119"/>
  <c r="S15" i="119"/>
  <c r="S119" i="119" s="1"/>
  <c r="T18" i="119"/>
  <c r="T21" i="119"/>
  <c r="T117" i="119" s="1"/>
  <c r="Q27" i="119"/>
  <c r="Q121" i="119" s="1"/>
  <c r="R30" i="119"/>
  <c r="M46" i="119"/>
  <c r="T40" i="119"/>
  <c r="V43" i="119"/>
  <c r="V115" i="119" s="1"/>
  <c r="X46" i="119"/>
  <c r="P136" i="119"/>
  <c r="P138" i="119" s="1"/>
  <c r="N154" i="119"/>
  <c r="N156" i="119" s="1"/>
  <c r="X154" i="119"/>
  <c r="X156" i="119" s="1"/>
  <c r="N166" i="119"/>
  <c r="N168" i="119" s="1"/>
  <c r="Q172" i="119"/>
  <c r="Q174" i="119" s="1"/>
  <c r="W43" i="119"/>
  <c r="W115" i="119" s="1"/>
  <c r="Q142" i="119"/>
  <c r="Q144" i="119" s="1"/>
  <c r="R166" i="119"/>
  <c r="R168" i="119" s="1"/>
  <c r="O160" i="119"/>
  <c r="O162" i="119" s="1"/>
  <c r="R175" i="119"/>
  <c r="R177" i="119" s="1"/>
  <c r="R139" i="119"/>
  <c r="R141" i="119" s="1"/>
  <c r="P154" i="119"/>
  <c r="P156" i="119" s="1"/>
  <c r="S166" i="119"/>
  <c r="S168" i="119" s="1"/>
  <c r="P163" i="119"/>
  <c r="P165" i="119" s="1"/>
  <c r="S172" i="119"/>
  <c r="S174" i="119" s="1"/>
  <c r="R75" i="119"/>
  <c r="R109" i="119" s="1"/>
  <c r="M151" i="119"/>
  <c r="M153" i="119" s="1"/>
  <c r="S139" i="119"/>
  <c r="S141" i="119" s="1"/>
  <c r="Q154" i="119"/>
  <c r="Q156" i="119" s="1"/>
  <c r="T163" i="119"/>
  <c r="T165" i="119" s="1"/>
  <c r="Q166" i="119"/>
  <c r="Q168" i="119" s="1"/>
  <c r="T175" i="119"/>
  <c r="T177" i="119" s="1"/>
  <c r="U136" i="119"/>
  <c r="U138" i="119" s="1"/>
  <c r="R148" i="119"/>
  <c r="R150" i="119" s="1"/>
  <c r="U160" i="119"/>
  <c r="U162" i="119" s="1"/>
  <c r="U172" i="119"/>
  <c r="U174" i="119" s="1"/>
  <c r="V142" i="119"/>
  <c r="V144" i="119" s="1"/>
  <c r="N172" i="119"/>
  <c r="N174" i="119" s="1"/>
  <c r="V172" i="119"/>
  <c r="V174" i="119" s="1"/>
  <c r="T15" i="119"/>
  <c r="T119" i="119" s="1"/>
  <c r="U18" i="119"/>
  <c r="U111" i="119" s="1"/>
  <c r="U21" i="119"/>
  <c r="U117" i="119" s="1"/>
  <c r="M24" i="119"/>
  <c r="M113" i="119" s="1"/>
  <c r="R27" i="119"/>
  <c r="R121" i="119" s="1"/>
  <c r="S30" i="119"/>
  <c r="N46" i="119"/>
  <c r="W160" i="119"/>
  <c r="W162" i="119" s="1"/>
  <c r="N139" i="119"/>
  <c r="N141" i="119" s="1"/>
  <c r="X136" i="119"/>
  <c r="X138" i="119" s="1"/>
  <c r="U151" i="119"/>
  <c r="U153" i="119" s="1"/>
  <c r="X163" i="119"/>
  <c r="X165" i="119" s="1"/>
  <c r="O175" i="119"/>
  <c r="O177" i="119" s="1"/>
  <c r="W175" i="119"/>
  <c r="W177" i="119" s="1"/>
  <c r="M15" i="119"/>
  <c r="M119" i="119" s="1"/>
  <c r="U15" i="119"/>
  <c r="U119" i="119" s="1"/>
  <c r="N18" i="119"/>
  <c r="V18" i="119"/>
  <c r="N21" i="119"/>
  <c r="N117" i="119" s="1"/>
  <c r="V21" i="119"/>
  <c r="V117" i="119" s="1"/>
  <c r="N24" i="119"/>
  <c r="N113" i="119" s="1"/>
  <c r="S27" i="119"/>
  <c r="S121" i="119" s="1"/>
  <c r="T30" i="119"/>
  <c r="S40" i="119"/>
  <c r="M43" i="119"/>
  <c r="M115" i="119" s="1"/>
  <c r="O46" i="119"/>
  <c r="O142" i="119"/>
  <c r="O144" i="119" s="1"/>
  <c r="M148" i="119"/>
  <c r="M150" i="119" s="1"/>
  <c r="V151" i="119"/>
  <c r="V153" i="119" s="1"/>
  <c r="M160" i="119"/>
  <c r="M162" i="119" s="1"/>
  <c r="P175" i="119"/>
  <c r="P177" i="119" s="1"/>
  <c r="X172" i="119"/>
  <c r="X174" i="119" s="1"/>
  <c r="O166" i="119"/>
  <c r="O168" i="119" s="1"/>
  <c r="P148" i="119"/>
  <c r="P150" i="119" s="1"/>
  <c r="R154" i="119"/>
  <c r="R156" i="119" s="1"/>
  <c r="U175" i="119"/>
  <c r="U177" i="119" s="1"/>
  <c r="X85" i="119"/>
  <c r="P85" i="119"/>
  <c r="T172" i="119"/>
  <c r="T174" i="119" s="1"/>
  <c r="S85" i="119"/>
  <c r="R136" i="119"/>
  <c r="R138" i="119" s="1"/>
  <c r="R142" i="119"/>
  <c r="R144" i="119" s="1"/>
  <c r="P166" i="119"/>
  <c r="P168" i="119" s="1"/>
  <c r="P151" i="119"/>
  <c r="P153" i="119" s="1"/>
  <c r="S175" i="119"/>
  <c r="S177" i="119" s="1"/>
  <c r="P160" i="119"/>
  <c r="P162" i="119" s="1"/>
  <c r="S136" i="119"/>
  <c r="S138" i="119" s="1"/>
  <c r="Q148" i="119"/>
  <c r="Q150" i="119" s="1"/>
  <c r="S142" i="119"/>
  <c r="S144" i="119" s="1"/>
  <c r="T166" i="119"/>
  <c r="T168" i="119" s="1"/>
  <c r="Q151" i="119"/>
  <c r="Q153" i="119" s="1"/>
  <c r="T160" i="119"/>
  <c r="T162" i="119" s="1"/>
  <c r="Q163" i="119"/>
  <c r="Q165" i="119" s="1"/>
  <c r="Q160" i="119"/>
  <c r="Q162" i="119" s="1"/>
  <c r="T148" i="119"/>
  <c r="T150" i="119" s="1"/>
  <c r="R172" i="119"/>
  <c r="R174" i="119" s="1"/>
  <c r="P172" i="119"/>
  <c r="P174" i="119" s="1"/>
  <c r="T136" i="119"/>
  <c r="T138" i="119" s="1"/>
  <c r="L16" i="119"/>
  <c r="L19" i="119"/>
  <c r="W97" i="119"/>
  <c r="V175" i="119"/>
  <c r="V177" i="119" s="1"/>
  <c r="X139" i="119"/>
  <c r="X141" i="119" s="1"/>
  <c r="W172" i="119"/>
  <c r="W174" i="119" s="1"/>
  <c r="V154" i="119"/>
  <c r="V156" i="119" s="1"/>
  <c r="M21" i="119"/>
  <c r="M117" i="119" s="1"/>
  <c r="V148" i="119"/>
  <c r="V150" i="119" s="1"/>
  <c r="M142" i="119"/>
  <c r="M144" i="119" s="1"/>
  <c r="T142" i="119"/>
  <c r="T144" i="119" s="1"/>
  <c r="N142" i="119"/>
  <c r="N144" i="119" s="1"/>
  <c r="O136" i="119"/>
  <c r="O138" i="119" s="1"/>
  <c r="M166" i="119"/>
  <c r="M168" i="119" s="1"/>
  <c r="M163" i="119"/>
  <c r="M165" i="119" s="1"/>
  <c r="W163" i="119"/>
  <c r="W165" i="119" s="1"/>
  <c r="O172" i="119"/>
  <c r="O174" i="119" s="1"/>
  <c r="O139" i="119"/>
  <c r="O141" i="119" s="1"/>
  <c r="X175" i="119"/>
  <c r="X177" i="119" s="1"/>
  <c r="Q175" i="119"/>
  <c r="Q177" i="119" s="1"/>
  <c r="N136" i="119"/>
  <c r="N138" i="119" s="1"/>
  <c r="X142" i="119"/>
  <c r="X144" i="119" s="1"/>
  <c r="X160" i="119"/>
  <c r="X162" i="119" s="1"/>
  <c r="U148" i="119"/>
  <c r="U150" i="119" s="1"/>
  <c r="X166" i="119"/>
  <c r="X168" i="119" s="1"/>
  <c r="K156" i="129"/>
  <c r="K166" i="129"/>
  <c r="K167" i="129" s="1"/>
  <c r="G111" i="129"/>
  <c r="G109" i="129"/>
  <c r="G107" i="129"/>
  <c r="G105" i="129"/>
  <c r="F105" i="129"/>
  <c r="F109" i="129"/>
  <c r="F111" i="129"/>
  <c r="F107" i="129"/>
  <c r="O236" i="129"/>
  <c r="O237" i="129"/>
  <c r="O239" i="129"/>
  <c r="O238" i="129"/>
  <c r="H166" i="129"/>
  <c r="H167" i="129" s="1"/>
  <c r="H156" i="129"/>
  <c r="M43" i="129"/>
  <c r="M53" i="129"/>
  <c r="M54" i="129" s="1"/>
  <c r="D102" i="129"/>
  <c r="E169" i="129"/>
  <c r="E173" i="129" s="1"/>
  <c r="J4" i="129"/>
  <c r="D164" i="129"/>
  <c r="V10" i="129" s="1"/>
  <c r="L9" i="129"/>
  <c r="F27" i="129"/>
  <c r="F42" i="129" s="1"/>
  <c r="F53" i="129" s="1"/>
  <c r="F54" i="129" s="1"/>
  <c r="K71" i="129"/>
  <c r="K84" i="129" s="1"/>
  <c r="G71" i="129"/>
  <c r="G84" i="129" s="1"/>
  <c r="G85" i="129" s="1"/>
  <c r="F4" i="129"/>
  <c r="N6" i="129"/>
  <c r="D95" i="129"/>
  <c r="D30" i="129"/>
  <c r="J84" i="129"/>
  <c r="J200" i="129"/>
  <c r="J198" i="129" s="1"/>
  <c r="J217" i="129" s="1"/>
  <c r="G234" i="129"/>
  <c r="N232" i="129"/>
  <c r="F10" i="129"/>
  <c r="F6" i="129"/>
  <c r="H27" i="129"/>
  <c r="H42" i="129" s="1"/>
  <c r="H53" i="129" s="1"/>
  <c r="H54" i="129" s="1"/>
  <c r="L4" i="129"/>
  <c r="O172" i="129"/>
  <c r="M234" i="129"/>
  <c r="M231" i="129" s="1"/>
  <c r="M236" i="129" s="1"/>
  <c r="I9" i="129"/>
  <c r="M6" i="129"/>
  <c r="E6" i="129"/>
  <c r="O200" i="129"/>
  <c r="O198" i="129" s="1"/>
  <c r="D206" i="129"/>
  <c r="I56" i="129"/>
  <c r="I60" i="129" s="1"/>
  <c r="O170" i="129"/>
  <c r="I170" i="129"/>
  <c r="G3" i="129"/>
  <c r="O3" i="129"/>
  <c r="I19" i="129"/>
  <c r="I4" i="129" s="1"/>
  <c r="D114" i="129"/>
  <c r="V3" i="129" s="1"/>
  <c r="D142" i="129"/>
  <c r="D146" i="129"/>
  <c r="D147" i="129"/>
  <c r="E231" i="129"/>
  <c r="E239" i="129" s="1"/>
  <c r="M84" i="129"/>
  <c r="E84" i="129"/>
  <c r="G233" i="129"/>
  <c r="E100" i="129"/>
  <c r="E104" i="129" s="1"/>
  <c r="D104" i="129" s="1"/>
  <c r="D204" i="129"/>
  <c r="Q120" i="129"/>
  <c r="I100" i="129"/>
  <c r="I104" i="129" s="1"/>
  <c r="I107" i="129" s="1"/>
  <c r="D103" i="129"/>
  <c r="J233" i="129"/>
  <c r="J6" i="129"/>
  <c r="L27" i="129"/>
  <c r="L42" i="129" s="1"/>
  <c r="L43" i="129" s="1"/>
  <c r="G27" i="129"/>
  <c r="G42" i="129" s="1"/>
  <c r="P234" i="129"/>
  <c r="H234" i="129"/>
  <c r="L233" i="129"/>
  <c r="P200" i="129"/>
  <c r="P198" i="129" s="1"/>
  <c r="P217" i="129" s="1"/>
  <c r="P4" i="129"/>
  <c r="O109" i="129"/>
  <c r="K100" i="129"/>
  <c r="K104" i="129" s="1"/>
  <c r="K19" i="129"/>
  <c r="K4" i="129" s="1"/>
  <c r="J3" i="129"/>
  <c r="H100" i="129"/>
  <c r="H104" i="129" s="1"/>
  <c r="H105" i="129" s="1"/>
  <c r="E4" i="129"/>
  <c r="F232" i="129"/>
  <c r="D232" i="129" s="1"/>
  <c r="F9" i="129"/>
  <c r="N27" i="129"/>
  <c r="L84" i="129"/>
  <c r="L85" i="129" s="1"/>
  <c r="D72" i="129"/>
  <c r="E175" i="129"/>
  <c r="O85" i="129"/>
  <c r="O97" i="129"/>
  <c r="O98" i="129" s="1"/>
  <c r="P100" i="129"/>
  <c r="P104" i="129" s="1"/>
  <c r="M176" i="129"/>
  <c r="M174" i="129"/>
  <c r="M173" i="129"/>
  <c r="M175" i="129"/>
  <c r="H43" i="129"/>
  <c r="N156" i="129"/>
  <c r="N166" i="129"/>
  <c r="N167" i="129" s="1"/>
  <c r="E236" i="129"/>
  <c r="M97" i="129"/>
  <c r="M98" i="129" s="1"/>
  <c r="M85" i="129"/>
  <c r="E85" i="129"/>
  <c r="E97" i="129"/>
  <c r="E98" i="129" s="1"/>
  <c r="I111" i="129"/>
  <c r="I109" i="129"/>
  <c r="K198" i="129"/>
  <c r="K217" i="129" s="1"/>
  <c r="K107" i="129"/>
  <c r="K109" i="129"/>
  <c r="H109" i="129"/>
  <c r="H111" i="129"/>
  <c r="N42" i="129"/>
  <c r="P85" i="129"/>
  <c r="P97" i="129"/>
  <c r="P98" i="129" s="1"/>
  <c r="P56" i="129"/>
  <c r="P60" i="129" s="1"/>
  <c r="Q127" i="129"/>
  <c r="L53" i="129"/>
  <c r="L54" i="129" s="1"/>
  <c r="D58" i="129"/>
  <c r="P232" i="129"/>
  <c r="I233" i="129"/>
  <c r="D203" i="129"/>
  <c r="F3" i="129"/>
  <c r="N3" i="129"/>
  <c r="H4" i="129"/>
  <c r="J231" i="129"/>
  <c r="O155" i="129"/>
  <c r="O166" i="129" s="1"/>
  <c r="O167" i="129" s="1"/>
  <c r="H171" i="129"/>
  <c r="K10" i="129"/>
  <c r="O6" i="129"/>
  <c r="G6" i="129"/>
  <c r="L200" i="129"/>
  <c r="L198" i="129" s="1"/>
  <c r="L217" i="129" s="1"/>
  <c r="D73" i="129"/>
  <c r="J155" i="129"/>
  <c r="J166" i="129" s="1"/>
  <c r="J167" i="129" s="1"/>
  <c r="P3" i="129"/>
  <c r="L172" i="129"/>
  <c r="L3" i="129"/>
  <c r="D139" i="129"/>
  <c r="G138" i="129"/>
  <c r="G155" i="129" s="1"/>
  <c r="G156" i="129" s="1"/>
  <c r="D143" i="129"/>
  <c r="D144" i="129"/>
  <c r="D145" i="129"/>
  <c r="D148" i="129"/>
  <c r="H6" i="129"/>
  <c r="N10" i="129"/>
  <c r="K27" i="129"/>
  <c r="D20" i="129"/>
  <c r="D19" i="129" s="1"/>
  <c r="T4" i="129" s="1"/>
  <c r="J9" i="129"/>
  <c r="G97" i="129"/>
  <c r="G98" i="129" s="1"/>
  <c r="D226" i="129"/>
  <c r="W10" i="129" s="1"/>
  <c r="M200" i="129"/>
  <c r="F200" i="129"/>
  <c r="D202" i="129"/>
  <c r="L97" i="129"/>
  <c r="L98" i="129" s="1"/>
  <c r="L58" i="129"/>
  <c r="L56" i="129" s="1"/>
  <c r="L60" i="129" s="1"/>
  <c r="H172" i="129"/>
  <c r="M3" i="129"/>
  <c r="M100" i="129"/>
  <c r="M104" i="129" s="1"/>
  <c r="L100" i="129"/>
  <c r="L104" i="129" s="1"/>
  <c r="O169" i="129"/>
  <c r="O175" i="129" s="1"/>
  <c r="D119" i="129"/>
  <c r="V4" i="129" s="1"/>
  <c r="D141" i="129"/>
  <c r="K231" i="129"/>
  <c r="K239" i="129" s="1"/>
  <c r="D149" i="129"/>
  <c r="V6" i="129" s="1"/>
  <c r="N172" i="129"/>
  <c r="D51" i="129"/>
  <c r="T10" i="129" s="1"/>
  <c r="I171" i="129"/>
  <c r="D140" i="129"/>
  <c r="D201" i="129"/>
  <c r="P155" i="129"/>
  <c r="L231" i="129"/>
  <c r="L236" i="129" s="1"/>
  <c r="G231" i="129"/>
  <c r="G235" i="129" s="1"/>
  <c r="L171" i="129"/>
  <c r="L169" i="129" s="1"/>
  <c r="L176" i="129" s="1"/>
  <c r="J10" i="129"/>
  <c r="F172" i="129"/>
  <c r="P9" i="129"/>
  <c r="H9" i="129"/>
  <c r="L6" i="129"/>
  <c r="D86" i="129"/>
  <c r="U9" i="129" s="1"/>
  <c r="F71" i="129"/>
  <c r="F84" i="129" s="1"/>
  <c r="F85" i="129" s="1"/>
  <c r="N200" i="129"/>
  <c r="N198" i="129" s="1"/>
  <c r="I43" i="129"/>
  <c r="I3" i="129"/>
  <c r="I234" i="129"/>
  <c r="D184" i="129"/>
  <c r="W4" i="129" s="1"/>
  <c r="D157" i="129"/>
  <c r="V9" i="129" s="1"/>
  <c r="M10" i="129"/>
  <c r="K6" i="129"/>
  <c r="P27" i="129"/>
  <c r="J27" i="129"/>
  <c r="J42" i="129" s="1"/>
  <c r="I71" i="129"/>
  <c r="I84" i="129" s="1"/>
  <c r="I85" i="129" s="1"/>
  <c r="D207" i="129"/>
  <c r="W6" i="129" s="1"/>
  <c r="K200" i="129"/>
  <c r="G200" i="129"/>
  <c r="G198" i="129" s="1"/>
  <c r="G217" i="129" s="1"/>
  <c r="D101" i="129"/>
  <c r="P169" i="129"/>
  <c r="P173" i="129" s="1"/>
  <c r="D65" i="129"/>
  <c r="U4" i="129" s="1"/>
  <c r="P10" i="129"/>
  <c r="I10" i="129"/>
  <c r="E10" i="129"/>
  <c r="N9" i="129"/>
  <c r="D74" i="129"/>
  <c r="U6" i="129" s="1"/>
  <c r="I200" i="129"/>
  <c r="I198" i="129" s="1"/>
  <c r="I217" i="129" s="1"/>
  <c r="H200" i="129"/>
  <c r="H198" i="129" s="1"/>
  <c r="H231" i="129"/>
  <c r="H236" i="129" s="1"/>
  <c r="M166" i="129"/>
  <c r="M167" i="129" s="1"/>
  <c r="Q122" i="129"/>
  <c r="H56" i="129"/>
  <c r="H60" i="129" s="1"/>
  <c r="G4" i="129"/>
  <c r="N19" i="129"/>
  <c r="N4" i="129" s="1"/>
  <c r="D178" i="129"/>
  <c r="W3" i="129" s="1"/>
  <c r="L10" i="129"/>
  <c r="H10" i="129"/>
  <c r="M9" i="129"/>
  <c r="D44" i="129"/>
  <c r="T9" i="129" s="1"/>
  <c r="I6" i="129"/>
  <c r="H71" i="129"/>
  <c r="H84" i="129" s="1"/>
  <c r="D219" i="129"/>
  <c r="W9" i="129" s="1"/>
  <c r="D13" i="129"/>
  <c r="S13" i="129" s="1"/>
  <c r="K105" i="129"/>
  <c r="O111" i="129"/>
  <c r="P105" i="129"/>
  <c r="H107" i="129"/>
  <c r="H239" i="129"/>
  <c r="K111" i="129"/>
  <c r="F56" i="129"/>
  <c r="N107" i="129"/>
  <c r="N109" i="129"/>
  <c r="N105" i="129"/>
  <c r="N231" i="129"/>
  <c r="D59" i="129"/>
  <c r="J105" i="129"/>
  <c r="J109" i="129"/>
  <c r="J107" i="129"/>
  <c r="D233" i="129"/>
  <c r="K237" i="129"/>
  <c r="D199" i="129"/>
  <c r="E198" i="129"/>
  <c r="E107" i="129"/>
  <c r="O235" i="129"/>
  <c r="O53" i="129"/>
  <c r="O54" i="129" s="1"/>
  <c r="L174" i="129"/>
  <c r="L175" i="129"/>
  <c r="L156" i="129"/>
  <c r="L166" i="129"/>
  <c r="L167" i="129" s="1"/>
  <c r="U3" i="129"/>
  <c r="M198" i="129"/>
  <c r="M217" i="129" s="1"/>
  <c r="J156" i="129"/>
  <c r="G166" i="129"/>
  <c r="G167" i="129" s="1"/>
  <c r="E156" i="129"/>
  <c r="E166" i="129"/>
  <c r="N53" i="129"/>
  <c r="N54" i="129" s="1"/>
  <c r="N43" i="129"/>
  <c r="N234" i="129"/>
  <c r="O10" i="129"/>
  <c r="G10" i="129"/>
  <c r="D31" i="129"/>
  <c r="T6" i="129" s="1"/>
  <c r="G171" i="129"/>
  <c r="N170" i="129"/>
  <c r="N169" i="129" s="1"/>
  <c r="F234" i="129"/>
  <c r="D234" i="129" s="1"/>
  <c r="E9" i="129"/>
  <c r="E28" i="129"/>
  <c r="F170" i="129"/>
  <c r="M57" i="129"/>
  <c r="F138" i="129"/>
  <c r="I138" i="129"/>
  <c r="K172" i="129"/>
  <c r="K169" i="129" s="1"/>
  <c r="J176" i="129"/>
  <c r="G172" i="129"/>
  <c r="P72" i="119"/>
  <c r="P123" i="119"/>
  <c r="S109" i="119"/>
  <c r="R95" i="119"/>
  <c r="R160" i="119"/>
  <c r="R162" i="119" s="1"/>
  <c r="P142" i="119"/>
  <c r="P144" i="119" s="1"/>
  <c r="M136" i="119"/>
  <c r="M138" i="119" s="1"/>
  <c r="X151" i="119"/>
  <c r="X153" i="119" s="1"/>
  <c r="R163" i="119"/>
  <c r="R165" i="119" s="1"/>
  <c r="L73" i="119"/>
  <c r="L76" i="119"/>
  <c r="W148" i="119"/>
  <c r="W150" i="119" s="1"/>
  <c r="N160" i="119"/>
  <c r="N162" i="119" s="1"/>
  <c r="O163" i="119"/>
  <c r="O165" i="119" s="1"/>
  <c r="Q139" i="119"/>
  <c r="Q141" i="119" s="1"/>
  <c r="L49" i="119"/>
  <c r="W154" i="119"/>
  <c r="W156" i="119" s="1"/>
  <c r="I50" i="119"/>
  <c r="N148" i="119"/>
  <c r="N150" i="119" s="1"/>
  <c r="Q136" i="119"/>
  <c r="Q138" i="119" s="1"/>
  <c r="N151" i="119"/>
  <c r="N153" i="119" s="1"/>
  <c r="T85" i="119"/>
  <c r="L34" i="119"/>
  <c r="L82" i="119"/>
  <c r="Q85" i="119"/>
  <c r="O85" i="119"/>
  <c r="X148" i="119"/>
  <c r="X150" i="119" s="1"/>
  <c r="M85" i="119"/>
  <c r="U85" i="119"/>
  <c r="L47" i="119"/>
  <c r="L79" i="119"/>
  <c r="W166" i="119"/>
  <c r="W168" i="119" s="1"/>
  <c r="O148" i="119"/>
  <c r="O150" i="119" s="1"/>
  <c r="P139" i="119"/>
  <c r="P141" i="119" s="1"/>
  <c r="R85" i="119"/>
  <c r="T151" i="119"/>
  <c r="T153" i="119" s="1"/>
  <c r="N85" i="119"/>
  <c r="V85" i="119"/>
  <c r="L44" i="119"/>
  <c r="L50" i="119"/>
  <c r="I69" i="119"/>
  <c r="O154" i="119"/>
  <c r="O156" i="119" s="1"/>
  <c r="U163" i="119"/>
  <c r="U165" i="119" s="1"/>
  <c r="S160" i="119"/>
  <c r="S162" i="119" s="1"/>
  <c r="S163" i="119"/>
  <c r="S165" i="119" s="1"/>
  <c r="O103" i="119"/>
  <c r="N163" i="119"/>
  <c r="N165" i="119" s="1"/>
  <c r="L57" i="119"/>
  <c r="L54" i="119"/>
  <c r="S103" i="119"/>
  <c r="L59" i="119"/>
  <c r="L66" i="119"/>
  <c r="N125" i="119"/>
  <c r="L65" i="119"/>
  <c r="L62" i="119"/>
  <c r="L60" i="119"/>
  <c r="W95" i="119"/>
  <c r="W72" i="119"/>
  <c r="T125" i="119"/>
  <c r="M103" i="119"/>
  <c r="S72" i="119"/>
  <c r="L38" i="119"/>
  <c r="P43" i="119"/>
  <c r="P115" i="119" s="1"/>
  <c r="L41" i="119"/>
  <c r="W142" i="119"/>
  <c r="W144" i="119" s="1"/>
  <c r="W139" i="119"/>
  <c r="W141" i="119" s="1"/>
  <c r="T72" i="119"/>
  <c r="M84" i="119"/>
  <c r="M72" i="119" s="1"/>
  <c r="L81" i="119"/>
  <c r="N72" i="119"/>
  <c r="L31" i="119"/>
  <c r="L28" i="119"/>
  <c r="M30" i="119"/>
  <c r="O78" i="119"/>
  <c r="L99" i="119"/>
  <c r="W103" i="119"/>
  <c r="U125" i="119"/>
  <c r="L22" i="119"/>
  <c r="P125" i="119"/>
  <c r="W136" i="119"/>
  <c r="W138" i="119" s="1"/>
  <c r="P46" i="119"/>
  <c r="L13" i="119"/>
  <c r="L25" i="119"/>
  <c r="V136" i="119"/>
  <c r="V139" i="119"/>
  <c r="V141" i="119" s="1"/>
  <c r="L133" i="119"/>
  <c r="S154" i="119"/>
  <c r="S156" i="119" s="1"/>
  <c r="L145" i="119"/>
  <c r="S148" i="119"/>
  <c r="S151" i="119"/>
  <c r="S153" i="119" s="1"/>
  <c r="L157" i="119"/>
  <c r="V166" i="119"/>
  <c r="V160" i="119"/>
  <c r="V163" i="119"/>
  <c r="L169" i="119"/>
  <c r="N175" i="119"/>
  <c r="X72" i="119"/>
  <c r="Q95" i="119"/>
  <c r="Q72" i="119"/>
  <c r="U72" i="119"/>
  <c r="V72" i="119"/>
  <c r="L63" i="119"/>
  <c r="L69" i="119"/>
  <c r="L96" i="119" l="1"/>
  <c r="L33" i="119"/>
  <c r="L100" i="119"/>
  <c r="A11" i="135"/>
  <c r="M171" i="119"/>
  <c r="A12" i="135"/>
  <c r="C6" i="134"/>
  <c r="X7" i="134"/>
  <c r="AA9" i="134"/>
  <c r="AA7" i="134" s="1"/>
  <c r="A10" i="135"/>
  <c r="R14" i="135"/>
  <c r="R8" i="79"/>
  <c r="P111" i="119"/>
  <c r="U53" i="119"/>
  <c r="U52" i="119" s="1"/>
  <c r="N111" i="119"/>
  <c r="O111" i="119"/>
  <c r="Q53" i="119"/>
  <c r="Q52" i="119" s="1"/>
  <c r="X53" i="119"/>
  <c r="L114" i="119"/>
  <c r="U37" i="119"/>
  <c r="L112" i="119"/>
  <c r="Q37" i="119"/>
  <c r="P53" i="119"/>
  <c r="L110" i="119"/>
  <c r="W53" i="119"/>
  <c r="S53" i="119"/>
  <c r="M53" i="119"/>
  <c r="L103" i="119"/>
  <c r="L125" i="119"/>
  <c r="L117" i="119"/>
  <c r="L109" i="119"/>
  <c r="T53" i="119"/>
  <c r="X147" i="119"/>
  <c r="X146" i="119" s="1"/>
  <c r="M147" i="119"/>
  <c r="M146" i="119" s="1"/>
  <c r="L113" i="119"/>
  <c r="L121" i="119"/>
  <c r="N53" i="119"/>
  <c r="N52" i="119" s="1"/>
  <c r="J51" i="119" s="1"/>
  <c r="L115" i="119"/>
  <c r="L93" i="119"/>
  <c r="L119" i="119"/>
  <c r="L68" i="119"/>
  <c r="V53" i="119"/>
  <c r="V52" i="119" s="1"/>
  <c r="O53" i="119"/>
  <c r="O52" i="119" s="1"/>
  <c r="T147" i="119"/>
  <c r="T146" i="119" s="1"/>
  <c r="U147" i="119"/>
  <c r="R171" i="119"/>
  <c r="R170" i="119" s="1"/>
  <c r="J169" i="119" s="1"/>
  <c r="O171" i="119"/>
  <c r="L56" i="119"/>
  <c r="U186" i="119"/>
  <c r="U159" i="119"/>
  <c r="R53" i="119"/>
  <c r="R52" i="119" s="1"/>
  <c r="X101" i="119"/>
  <c r="R101" i="119"/>
  <c r="V101" i="119"/>
  <c r="W111" i="119"/>
  <c r="O159" i="119"/>
  <c r="Q135" i="119"/>
  <c r="Q134" i="119" s="1"/>
  <c r="W101" i="119"/>
  <c r="T171" i="119"/>
  <c r="N101" i="119"/>
  <c r="X37" i="119"/>
  <c r="X36" i="119" s="1"/>
  <c r="O37" i="119"/>
  <c r="O36" i="119" s="1"/>
  <c r="X12" i="119"/>
  <c r="X11" i="119" s="1"/>
  <c r="R12" i="119"/>
  <c r="R11" i="119" s="1"/>
  <c r="O12" i="119"/>
  <c r="O11" i="119" s="1"/>
  <c r="L24" i="119"/>
  <c r="R72" i="119"/>
  <c r="R71" i="119" s="1"/>
  <c r="J70" i="119" s="1"/>
  <c r="R147" i="119"/>
  <c r="R146" i="119" s="1"/>
  <c r="V12" i="119"/>
  <c r="V11" i="119" s="1"/>
  <c r="R111" i="119"/>
  <c r="U185" i="119"/>
  <c r="R37" i="119"/>
  <c r="R36" i="119" s="1"/>
  <c r="X111" i="119"/>
  <c r="S37" i="119"/>
  <c r="S36" i="119" s="1"/>
  <c r="V111" i="119"/>
  <c r="L40" i="119"/>
  <c r="P12" i="119"/>
  <c r="P11" i="119" s="1"/>
  <c r="S101" i="119"/>
  <c r="S12" i="119"/>
  <c r="S11" i="119" s="1"/>
  <c r="O101" i="119"/>
  <c r="L75" i="119"/>
  <c r="P101" i="119"/>
  <c r="N12" i="119"/>
  <c r="N11" i="119" s="1"/>
  <c r="U171" i="119"/>
  <c r="W12" i="119"/>
  <c r="W11" i="119" s="1"/>
  <c r="T101" i="119"/>
  <c r="Q159" i="119"/>
  <c r="Q12" i="119"/>
  <c r="Q11" i="119" s="1"/>
  <c r="L27" i="119"/>
  <c r="W159" i="119"/>
  <c r="W158" i="119" s="1"/>
  <c r="P186" i="119"/>
  <c r="S111" i="119"/>
  <c r="X171" i="119"/>
  <c r="R186" i="119"/>
  <c r="U12" i="119"/>
  <c r="U11" i="119" s="1"/>
  <c r="U135" i="119"/>
  <c r="U134" i="119" s="1"/>
  <c r="S159" i="119"/>
  <c r="S158" i="119" s="1"/>
  <c r="V171" i="119"/>
  <c r="T37" i="119"/>
  <c r="T36" i="119" s="1"/>
  <c r="P171" i="119"/>
  <c r="T12" i="119"/>
  <c r="T11" i="119" s="1"/>
  <c r="W37" i="119"/>
  <c r="W36" i="119" s="1"/>
  <c r="T185" i="119"/>
  <c r="M37" i="119"/>
  <c r="M36" i="119" s="1"/>
  <c r="Q186" i="119"/>
  <c r="Q147" i="119"/>
  <c r="V37" i="119"/>
  <c r="V36" i="119" s="1"/>
  <c r="X135" i="119"/>
  <c r="X134" i="119" s="1"/>
  <c r="N37" i="119"/>
  <c r="N36" i="119" s="1"/>
  <c r="T111" i="119"/>
  <c r="S171" i="119"/>
  <c r="M159" i="119"/>
  <c r="L15" i="119"/>
  <c r="N159" i="119"/>
  <c r="W171" i="119"/>
  <c r="P147" i="119"/>
  <c r="P146" i="119" s="1"/>
  <c r="T186" i="119"/>
  <c r="R135" i="119"/>
  <c r="R134" i="119" s="1"/>
  <c r="T159" i="119"/>
  <c r="T158" i="119" s="1"/>
  <c r="X159" i="119"/>
  <c r="X158" i="119" s="1"/>
  <c r="P159" i="119"/>
  <c r="S135" i="119"/>
  <c r="S134" i="119" s="1"/>
  <c r="P185" i="119"/>
  <c r="P184" i="119"/>
  <c r="R184" i="119"/>
  <c r="N185" i="119"/>
  <c r="S186" i="119"/>
  <c r="V147" i="119"/>
  <c r="V146" i="119" s="1"/>
  <c r="T184" i="119"/>
  <c r="Q185" i="119"/>
  <c r="L21" i="119"/>
  <c r="X185" i="119"/>
  <c r="Q184" i="119"/>
  <c r="M186" i="119"/>
  <c r="U184" i="119"/>
  <c r="R159" i="119"/>
  <c r="R158" i="119" s="1"/>
  <c r="J157" i="119" s="1"/>
  <c r="T135" i="119"/>
  <c r="T134" i="119" s="1"/>
  <c r="O185" i="119"/>
  <c r="N135" i="119"/>
  <c r="N134" i="119" s="1"/>
  <c r="L85" i="119"/>
  <c r="L174" i="119"/>
  <c r="Q171" i="119"/>
  <c r="L172" i="119"/>
  <c r="N184" i="119"/>
  <c r="X184" i="119"/>
  <c r="L18" i="119"/>
  <c r="X186" i="119"/>
  <c r="Q87" i="119"/>
  <c r="L144" i="119"/>
  <c r="U87" i="119"/>
  <c r="M12" i="119"/>
  <c r="M11" i="119" s="1"/>
  <c r="W185" i="119"/>
  <c r="W186" i="119"/>
  <c r="O184" i="119"/>
  <c r="P135" i="119"/>
  <c r="P134" i="119" s="1"/>
  <c r="P218" i="129"/>
  <c r="P228" i="129"/>
  <c r="P229" i="129" s="1"/>
  <c r="E238" i="129"/>
  <c r="E176" i="129"/>
  <c r="J97" i="129"/>
  <c r="J98" i="129" s="1"/>
  <c r="J85" i="129"/>
  <c r="D3" i="129"/>
  <c r="S3" i="129" s="1"/>
  <c r="G236" i="129"/>
  <c r="D100" i="129"/>
  <c r="E235" i="129"/>
  <c r="E174" i="129"/>
  <c r="G239" i="129"/>
  <c r="I169" i="129"/>
  <c r="D200" i="129"/>
  <c r="F43" i="129"/>
  <c r="I105" i="129"/>
  <c r="E237" i="129"/>
  <c r="D6" i="129"/>
  <c r="S6" i="129" s="1"/>
  <c r="E111" i="129"/>
  <c r="E105" i="129"/>
  <c r="E109" i="129"/>
  <c r="F97" i="129"/>
  <c r="F98" i="129" s="1"/>
  <c r="P231" i="129"/>
  <c r="K85" i="129"/>
  <c r="K97" i="129"/>
  <c r="K98" i="129" s="1"/>
  <c r="N217" i="129"/>
  <c r="N5" i="129"/>
  <c r="N7" i="129" s="1"/>
  <c r="D171" i="129"/>
  <c r="I173" i="129"/>
  <c r="H238" i="129"/>
  <c r="H235" i="129"/>
  <c r="H237" i="129"/>
  <c r="J53" i="129"/>
  <c r="J54" i="129" s="1"/>
  <c r="J43" i="129"/>
  <c r="L109" i="129"/>
  <c r="L105" i="129"/>
  <c r="L107" i="129"/>
  <c r="K228" i="129"/>
  <c r="K229" i="129" s="1"/>
  <c r="K218" i="129"/>
  <c r="F231" i="129"/>
  <c r="F236" i="129" s="1"/>
  <c r="O174" i="129"/>
  <c r="L111" i="129"/>
  <c r="G218" i="129"/>
  <c r="G228" i="129"/>
  <c r="G229" i="129" s="1"/>
  <c r="P42" i="129"/>
  <c r="P5" i="129"/>
  <c r="P7" i="129" s="1"/>
  <c r="M105" i="129"/>
  <c r="M111" i="129"/>
  <c r="M107" i="129"/>
  <c r="M109" i="129"/>
  <c r="J228" i="129"/>
  <c r="J229" i="129" s="1"/>
  <c r="J218" i="129"/>
  <c r="I231" i="129"/>
  <c r="G5" i="129"/>
  <c r="G7" i="129" s="1"/>
  <c r="G8" i="129" s="1"/>
  <c r="P107" i="129"/>
  <c r="P109" i="129"/>
  <c r="P111" i="129"/>
  <c r="F198" i="129"/>
  <c r="F217" i="129" s="1"/>
  <c r="F228" i="129" s="1"/>
  <c r="F229" i="129" s="1"/>
  <c r="O173" i="129"/>
  <c r="P174" i="129"/>
  <c r="P175" i="129"/>
  <c r="P176" i="129"/>
  <c r="G238" i="129"/>
  <c r="G237" i="129"/>
  <c r="H169" i="129"/>
  <c r="P238" i="129"/>
  <c r="G43" i="129"/>
  <c r="G53" i="129"/>
  <c r="G54" i="129" s="1"/>
  <c r="D4" i="129"/>
  <c r="S4" i="129" s="1"/>
  <c r="G11" i="129"/>
  <c r="G12" i="129" s="1"/>
  <c r="D71" i="129"/>
  <c r="U5" i="129" s="1"/>
  <c r="U7" i="129" s="1"/>
  <c r="O176" i="129"/>
  <c r="H85" i="129"/>
  <c r="H97" i="129"/>
  <c r="H98" i="129" s="1"/>
  <c r="L235" i="129"/>
  <c r="L237" i="129"/>
  <c r="K235" i="129"/>
  <c r="K238" i="129"/>
  <c r="D172" i="129"/>
  <c r="I97" i="129"/>
  <c r="I98" i="129" s="1"/>
  <c r="L239" i="129"/>
  <c r="D84" i="129"/>
  <c r="D85" i="129" s="1"/>
  <c r="O156" i="129"/>
  <c r="P166" i="129"/>
  <c r="P167" i="129" s="1"/>
  <c r="P156" i="129"/>
  <c r="M239" i="129"/>
  <c r="M235" i="129"/>
  <c r="M238" i="129"/>
  <c r="M237" i="129"/>
  <c r="J239" i="129"/>
  <c r="J235" i="129"/>
  <c r="J237" i="129"/>
  <c r="J236" i="129"/>
  <c r="J238" i="129"/>
  <c r="D9" i="129"/>
  <c r="S9" i="129" s="1"/>
  <c r="L173" i="129"/>
  <c r="L238" i="129"/>
  <c r="K236" i="129"/>
  <c r="L5" i="129"/>
  <c r="L7" i="129" s="1"/>
  <c r="J5" i="129"/>
  <c r="J7" i="129" s="1"/>
  <c r="L228" i="129"/>
  <c r="L229" i="129" s="1"/>
  <c r="L218" i="129"/>
  <c r="K42" i="129"/>
  <c r="K5" i="129"/>
  <c r="K7" i="129" s="1"/>
  <c r="K176" i="129"/>
  <c r="K173" i="129"/>
  <c r="K175" i="129"/>
  <c r="K174" i="129"/>
  <c r="F155" i="129"/>
  <c r="D138" i="129"/>
  <c r="V5" i="129" s="1"/>
  <c r="V7" i="129" s="1"/>
  <c r="E167" i="129"/>
  <c r="M61" i="129"/>
  <c r="Q61" i="129" s="1"/>
  <c r="D57" i="129"/>
  <c r="D61" i="129" s="1"/>
  <c r="M56" i="129"/>
  <c r="M60" i="129" s="1"/>
  <c r="D105" i="129"/>
  <c r="D107" i="129"/>
  <c r="D111" i="129"/>
  <c r="D109" i="129"/>
  <c r="F169" i="129"/>
  <c r="D170" i="129"/>
  <c r="M218" i="129"/>
  <c r="M228" i="129"/>
  <c r="M229" i="129" s="1"/>
  <c r="U11" i="129"/>
  <c r="U12" i="129" s="1"/>
  <c r="U8" i="129"/>
  <c r="O5" i="129"/>
  <c r="O7" i="129" s="1"/>
  <c r="O217" i="129"/>
  <c r="I228" i="129"/>
  <c r="I229" i="129" s="1"/>
  <c r="I218" i="129"/>
  <c r="H217" i="129"/>
  <c r="H5" i="129"/>
  <c r="H7" i="129" s="1"/>
  <c r="M5" i="129"/>
  <c r="M7" i="129" s="1"/>
  <c r="F218" i="129"/>
  <c r="N236" i="129"/>
  <c r="N238" i="129"/>
  <c r="N235" i="129"/>
  <c r="N237" i="129"/>
  <c r="N239" i="129"/>
  <c r="E27" i="129"/>
  <c r="D28" i="129"/>
  <c r="D198" i="129"/>
  <c r="W5" i="129" s="1"/>
  <c r="W7" i="129" s="1"/>
  <c r="E217" i="129"/>
  <c r="N174" i="129"/>
  <c r="N175" i="129"/>
  <c r="N173" i="129"/>
  <c r="N176" i="129"/>
  <c r="D10" i="129"/>
  <c r="S10" i="129" s="1"/>
  <c r="G169" i="129"/>
  <c r="F60" i="129"/>
  <c r="I155" i="129"/>
  <c r="I5" i="129"/>
  <c r="I7" i="129" s="1"/>
  <c r="W147" i="119"/>
  <c r="W146" i="119" s="1"/>
  <c r="M184" i="119"/>
  <c r="M135" i="119"/>
  <c r="M134" i="119" s="1"/>
  <c r="L151" i="119"/>
  <c r="L156" i="119"/>
  <c r="S185" i="119"/>
  <c r="L142" i="119"/>
  <c r="O147" i="119"/>
  <c r="O146" i="119" s="1"/>
  <c r="L175" i="119"/>
  <c r="N177" i="119"/>
  <c r="N186" i="119" s="1"/>
  <c r="O186" i="119"/>
  <c r="O135" i="119"/>
  <c r="O134" i="119" s="1"/>
  <c r="V165" i="119"/>
  <c r="L165" i="119" s="1"/>
  <c r="L163" i="119"/>
  <c r="L43" i="119"/>
  <c r="L154" i="119"/>
  <c r="R185" i="119"/>
  <c r="L153" i="119"/>
  <c r="V162" i="119"/>
  <c r="L160" i="119"/>
  <c r="M123" i="119"/>
  <c r="L123" i="119" s="1"/>
  <c r="L84" i="119"/>
  <c r="L139" i="119"/>
  <c r="L46" i="119"/>
  <c r="P37" i="119"/>
  <c r="V168" i="119"/>
  <c r="L166" i="119"/>
  <c r="W184" i="119"/>
  <c r="W135" i="119"/>
  <c r="W134" i="119" s="1"/>
  <c r="M185" i="119"/>
  <c r="L141" i="119"/>
  <c r="V138" i="119"/>
  <c r="L136" i="119"/>
  <c r="N147" i="119"/>
  <c r="O95" i="119"/>
  <c r="O72" i="119"/>
  <c r="L78" i="119"/>
  <c r="L148" i="119"/>
  <c r="S150" i="119"/>
  <c r="L30" i="119"/>
  <c r="M101" i="119"/>
  <c r="M87" i="119" s="1"/>
  <c r="L97" i="119"/>
  <c r="Q5" i="119" l="1"/>
  <c r="X87" i="119"/>
  <c r="B2" i="134"/>
  <c r="B1" i="134"/>
  <c r="R7" i="79"/>
  <c r="Q8" i="79"/>
  <c r="U5" i="119"/>
  <c r="L111" i="119"/>
  <c r="L53" i="119"/>
  <c r="R87" i="119"/>
  <c r="V87" i="119"/>
  <c r="X5" i="119"/>
  <c r="O5" i="119"/>
  <c r="P87" i="119"/>
  <c r="W87" i="119"/>
  <c r="S87" i="119"/>
  <c r="N87" i="119"/>
  <c r="L72" i="119"/>
  <c r="W5" i="119"/>
  <c r="N5" i="119"/>
  <c r="S5" i="119"/>
  <c r="V5" i="119"/>
  <c r="R5" i="119"/>
  <c r="T87" i="119"/>
  <c r="U179" i="119"/>
  <c r="U128" i="119"/>
  <c r="T5" i="119"/>
  <c r="X128" i="119"/>
  <c r="Q128" i="119"/>
  <c r="T128" i="119"/>
  <c r="P179" i="119"/>
  <c r="P128" i="119"/>
  <c r="T179" i="119"/>
  <c r="R179" i="119"/>
  <c r="Q179" i="119"/>
  <c r="L12" i="119"/>
  <c r="V185" i="119"/>
  <c r="L185" i="119" s="1"/>
  <c r="O128" i="119"/>
  <c r="R128" i="119"/>
  <c r="W128" i="119"/>
  <c r="X179" i="119"/>
  <c r="W179" i="119"/>
  <c r="O179" i="119"/>
  <c r="P236" i="129"/>
  <c r="P237" i="129"/>
  <c r="I174" i="129"/>
  <c r="I176" i="129"/>
  <c r="I175" i="129"/>
  <c r="F237" i="129"/>
  <c r="P235" i="129"/>
  <c r="F235" i="129"/>
  <c r="D235" i="129" s="1"/>
  <c r="P239" i="129"/>
  <c r="F238" i="129"/>
  <c r="I238" i="129"/>
  <c r="I239" i="129"/>
  <c r="D239" i="129" s="1"/>
  <c r="I237" i="129"/>
  <c r="I235" i="129"/>
  <c r="I236" i="129"/>
  <c r="K11" i="129"/>
  <c r="K12" i="129" s="1"/>
  <c r="K8" i="129"/>
  <c r="N8" i="129"/>
  <c r="N11" i="129"/>
  <c r="N12" i="129" s="1"/>
  <c r="K43" i="129"/>
  <c r="K53" i="129"/>
  <c r="K54" i="129" s="1"/>
  <c r="D97" i="129"/>
  <c r="D98" i="129" s="1"/>
  <c r="N218" i="129"/>
  <c r="N228" i="129"/>
  <c r="N229" i="129" s="1"/>
  <c r="F5" i="129"/>
  <c r="F7" i="129" s="1"/>
  <c r="F8" i="129" s="1"/>
  <c r="H173" i="129"/>
  <c r="H176" i="129"/>
  <c r="H175" i="129"/>
  <c r="H174" i="129"/>
  <c r="P53" i="129"/>
  <c r="P54" i="129" s="1"/>
  <c r="P43" i="129"/>
  <c r="Q60" i="129"/>
  <c r="D231" i="129"/>
  <c r="D56" i="129"/>
  <c r="D60" i="129" s="1"/>
  <c r="F239" i="129"/>
  <c r="J11" i="129"/>
  <c r="J12" i="129" s="1"/>
  <c r="J8" i="129"/>
  <c r="L8" i="129"/>
  <c r="L11" i="129"/>
  <c r="L12" i="129" s="1"/>
  <c r="P8" i="129"/>
  <c r="P11" i="129"/>
  <c r="P12" i="129" s="1"/>
  <c r="H8" i="129"/>
  <c r="H11" i="129"/>
  <c r="H12" i="129" s="1"/>
  <c r="D236" i="129"/>
  <c r="H218" i="129"/>
  <c r="H228" i="129"/>
  <c r="H229" i="129" s="1"/>
  <c r="I11" i="129"/>
  <c r="I12" i="129" s="1"/>
  <c r="I8" i="129"/>
  <c r="I166" i="129"/>
  <c r="I167" i="129" s="1"/>
  <c r="I156" i="129"/>
  <c r="D238" i="129"/>
  <c r="E218" i="129"/>
  <c r="D217" i="129"/>
  <c r="D218" i="129" s="1"/>
  <c r="E228" i="129"/>
  <c r="O218" i="129"/>
  <c r="O228" i="129"/>
  <c r="O229" i="129" s="1"/>
  <c r="F176" i="129"/>
  <c r="F175" i="129"/>
  <c r="D169" i="129"/>
  <c r="F174" i="129"/>
  <c r="F173" i="129"/>
  <c r="V8" i="129"/>
  <c r="V11" i="129"/>
  <c r="V12" i="129" s="1"/>
  <c r="W11" i="129"/>
  <c r="W12" i="129" s="1"/>
  <c r="W8" i="129"/>
  <c r="O11" i="129"/>
  <c r="O12" i="129" s="1"/>
  <c r="O8" i="129"/>
  <c r="G174" i="129"/>
  <c r="G176" i="129"/>
  <c r="G173" i="129"/>
  <c r="G175" i="129"/>
  <c r="F166" i="129"/>
  <c r="D155" i="129"/>
  <c r="D156" i="129" s="1"/>
  <c r="F156" i="129"/>
  <c r="D27" i="129"/>
  <c r="E5" i="129"/>
  <c r="E7" i="129" s="1"/>
  <c r="E42" i="129"/>
  <c r="M11" i="129"/>
  <c r="M12" i="129" s="1"/>
  <c r="M8" i="129"/>
  <c r="J10" i="119"/>
  <c r="M5" i="119"/>
  <c r="M128" i="119"/>
  <c r="N179" i="119"/>
  <c r="S147" i="119"/>
  <c r="S146" i="119" s="1"/>
  <c r="S128" i="119" s="1"/>
  <c r="S184" i="119"/>
  <c r="L150" i="119"/>
  <c r="V184" i="119"/>
  <c r="V135" i="119"/>
  <c r="L138" i="119"/>
  <c r="P36" i="119"/>
  <c r="L37" i="119"/>
  <c r="M179" i="119"/>
  <c r="V159" i="119"/>
  <c r="L159" i="119" s="1"/>
  <c r="L162" i="119"/>
  <c r="V186" i="119"/>
  <c r="L186" i="119" s="1"/>
  <c r="L168" i="119"/>
  <c r="N171" i="119"/>
  <c r="L171" i="119" s="1"/>
  <c r="L177" i="119"/>
  <c r="O87" i="119"/>
  <c r="L95" i="119"/>
  <c r="L101" i="119"/>
  <c r="N146" i="119"/>
  <c r="L5" i="119" l="1"/>
  <c r="N128" i="119"/>
  <c r="J35" i="119"/>
  <c r="P5" i="119"/>
  <c r="D173" i="129"/>
  <c r="D237" i="129"/>
  <c r="D175" i="129"/>
  <c r="D176" i="129"/>
  <c r="F11" i="129"/>
  <c r="F12" i="129" s="1"/>
  <c r="E53" i="129"/>
  <c r="E43" i="129"/>
  <c r="D42" i="129"/>
  <c r="D43" i="129" s="1"/>
  <c r="D7" i="129"/>
  <c r="E11" i="129"/>
  <c r="E8" i="129"/>
  <c r="D228" i="129"/>
  <c r="D229" i="129" s="1"/>
  <c r="E229" i="129"/>
  <c r="T5" i="129"/>
  <c r="T7" i="129" s="1"/>
  <c r="D5" i="129"/>
  <c r="S5" i="129" s="1"/>
  <c r="S7" i="129" s="1"/>
  <c r="D174" i="129"/>
  <c r="F167" i="129"/>
  <c r="D166" i="129"/>
  <c r="D167" i="129" s="1"/>
  <c r="J145" i="119"/>
  <c r="L147" i="119"/>
  <c r="V134" i="119"/>
  <c r="L135" i="119"/>
  <c r="V179" i="119"/>
  <c r="L87" i="119"/>
  <c r="S179" i="119"/>
  <c r="L184" i="119"/>
  <c r="L179" i="119" s="1"/>
  <c r="V128" i="119" l="1"/>
  <c r="J133" i="119"/>
  <c r="S8" i="129"/>
  <c r="S11" i="129"/>
  <c r="S12" i="129" s="1"/>
  <c r="E54" i="129"/>
  <c r="D53" i="129"/>
  <c r="D54" i="129" s="1"/>
  <c r="E12" i="129"/>
  <c r="D11" i="129"/>
  <c r="D12" i="129" s="1"/>
  <c r="D8" i="129"/>
  <c r="T11" i="129"/>
  <c r="T12" i="129" s="1"/>
  <c r="T8" i="129"/>
  <c r="L128" i="1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Marae</author>
    <author>MC</author>
  </authors>
  <commentList>
    <comment ref="D8" authorId="0" shapeId="0" xr:uid="{08A8864E-9CCC-4D64-A9DB-89124A6C00F0}">
      <text>
        <r>
          <rPr>
            <b/>
            <sz val="9"/>
            <color indexed="81"/>
            <rFont val="Tahoma"/>
            <family val="2"/>
          </rPr>
          <t>Marae:</t>
        </r>
        <r>
          <rPr>
            <sz val="9"/>
            <color indexed="81"/>
            <rFont val="Tahoma"/>
            <family val="2"/>
          </rPr>
          <t xml:space="preserve">
=SI(D16&gt;0,D31/D16,0)</t>
        </r>
      </text>
    </comment>
    <comment ref="E18" authorId="0" shapeId="0" xr:uid="{2F2355FA-3BAB-4DFC-A368-F4F31D171BD0}">
      <text>
        <r>
          <rPr>
            <b/>
            <sz val="9"/>
            <color indexed="81"/>
            <rFont val="Tahoma"/>
            <family val="2"/>
          </rPr>
          <t>Marae:</t>
        </r>
        <r>
          <rPr>
            <sz val="9"/>
            <color indexed="81"/>
            <rFont val="Tahoma"/>
            <family val="2"/>
          </rPr>
          <t xml:space="preserve">
Inventario final dic 2022
7,273.7</t>
        </r>
      </text>
    </comment>
    <comment ref="E24" authorId="0" shapeId="0" xr:uid="{FD9C1A87-2210-45BD-8CE3-D6DDABA6E3A8}">
      <text>
        <r>
          <rPr>
            <b/>
            <sz val="9"/>
            <color indexed="81"/>
            <rFont val="Tahoma"/>
            <family val="2"/>
          </rPr>
          <t>Marae:</t>
        </r>
        <r>
          <rPr>
            <sz val="9"/>
            <color indexed="81"/>
            <rFont val="Tahoma"/>
            <family val="2"/>
          </rPr>
          <t xml:space="preserve">
$185</t>
        </r>
      </text>
    </comment>
    <comment ref="C36" authorId="0" shapeId="0" xr:uid="{B9716B43-BED7-4DBA-8137-A4860DEC3FA6}">
      <text>
        <r>
          <rPr>
            <b/>
            <sz val="9"/>
            <color indexed="81"/>
            <rFont val="Tahoma"/>
            <family val="2"/>
          </rPr>
          <t>Marae:</t>
        </r>
        <r>
          <rPr>
            <sz val="9"/>
            <color indexed="81"/>
            <rFont val="Tahoma"/>
            <family val="2"/>
          </rPr>
          <t xml:space="preserve">
Incluye Almacen y Otros Gastos</t>
        </r>
      </text>
    </comment>
    <comment ref="D43" authorId="0" shapeId="0" xr:uid="{64723404-82A1-4378-ABBE-83EDAEDAC4AD}">
      <text>
        <r>
          <rPr>
            <b/>
            <sz val="9"/>
            <color indexed="81"/>
            <rFont val="Tahoma"/>
            <family val="2"/>
          </rPr>
          <t>Marae:</t>
        </r>
        <r>
          <rPr>
            <sz val="9"/>
            <color indexed="81"/>
            <rFont val="Tahoma"/>
            <family val="2"/>
          </rPr>
          <t xml:space="preserve">
=SI(D16&gt;0,D31/D16,0)</t>
        </r>
      </text>
    </comment>
    <comment ref="C47" authorId="0" shapeId="0" xr:uid="{742E7B88-9889-4520-AFE1-5F25431C7312}">
      <text>
        <r>
          <rPr>
            <b/>
            <sz val="9"/>
            <color indexed="81"/>
            <rFont val="Tahoma"/>
            <family val="2"/>
          </rPr>
          <t>Marae:</t>
        </r>
        <r>
          <rPr>
            <sz val="9"/>
            <color indexed="81"/>
            <rFont val="Tahoma"/>
            <family val="2"/>
          </rPr>
          <t xml:space="preserve">
Incluye Almacen y otros gastos</t>
        </r>
      </text>
    </comment>
    <comment ref="C48" authorId="1" shapeId="0" xr:uid="{C6603866-8A0E-4117-9366-0EBDB1B7A972}">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48" authorId="0" shapeId="0" xr:uid="{C8262A62-29DD-4769-9678-CCF4A7E960A1}">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50" authorId="0" shapeId="0" xr:uid="{1F3E27A7-F4B1-40ED-BDDB-5093A7228F5C}">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M55" authorId="0" shapeId="0" xr:uid="{923F3349-4832-43FA-80E2-C89BA2242959}">
      <text>
        <r>
          <rPr>
            <b/>
            <sz val="9"/>
            <color indexed="81"/>
            <rFont val="Tahoma"/>
            <family val="2"/>
          </rPr>
          <t>Marae:</t>
        </r>
        <r>
          <rPr>
            <sz val="9"/>
            <color indexed="81"/>
            <rFont val="Tahoma"/>
            <family val="2"/>
          </rPr>
          <t xml:space="preserve">
Desbrozadora</t>
        </r>
      </text>
    </comment>
    <comment ref="C60" authorId="0" shapeId="0" xr:uid="{D73715E3-3D3A-42C9-929E-FE8FC7334A08}">
      <text>
        <r>
          <rPr>
            <b/>
            <sz val="9"/>
            <color indexed="81"/>
            <rFont val="Tahoma"/>
            <family val="2"/>
          </rPr>
          <t>Marae:</t>
        </r>
        <r>
          <rPr>
            <sz val="9"/>
            <color indexed="81"/>
            <rFont val="Tahoma"/>
            <family val="2"/>
          </rPr>
          <t xml:space="preserve">
Estimado considerando solo el 50% del COSTO TOTAL</t>
        </r>
      </text>
    </comment>
    <comment ref="C61" authorId="0" shapeId="0" xr:uid="{54C7FB11-FDF2-48EA-989E-D05E89B11E7E}">
      <text>
        <r>
          <rPr>
            <b/>
            <sz val="9"/>
            <color indexed="81"/>
            <rFont val="Tahoma"/>
            <family val="2"/>
          </rPr>
          <t>Marae:</t>
        </r>
        <r>
          <rPr>
            <sz val="9"/>
            <color indexed="81"/>
            <rFont val="Tahoma"/>
            <family val="2"/>
          </rPr>
          <t xml:space="preserve">
Estimado considerando solo el 50% del Costo de Produccion</t>
        </r>
      </text>
    </comment>
    <comment ref="M67" authorId="0" shapeId="0" xr:uid="{67A0535F-913A-43F0-A176-DABA4B58C038}">
      <text>
        <r>
          <rPr>
            <b/>
            <sz val="9"/>
            <color indexed="81"/>
            <rFont val="Tahoma"/>
            <family val="2"/>
          </rPr>
          <t>Marae:</t>
        </r>
        <r>
          <rPr>
            <sz val="9"/>
            <color indexed="81"/>
            <rFont val="Tahoma"/>
            <family val="2"/>
          </rPr>
          <t xml:space="preserve">
No se tienen cobrados 200 ml del 15/sep Roberto Padilla, El caminero</t>
        </r>
      </text>
    </comment>
    <comment ref="O67" authorId="0" shapeId="0" xr:uid="{06690687-21C5-4144-B451-DA378950CCC7}">
      <text>
        <r>
          <rPr>
            <b/>
            <sz val="9"/>
            <color indexed="81"/>
            <rFont val="Tahoma"/>
            <family val="2"/>
          </rPr>
          <t>Marae:</t>
        </r>
        <r>
          <rPr>
            <sz val="9"/>
            <color indexed="81"/>
            <rFont val="Tahoma"/>
            <family val="2"/>
          </rPr>
          <t xml:space="preserve">
300 ML del 30 Nov que no estan aquí considerados de San Francisco Persa</t>
        </r>
      </text>
    </comment>
    <comment ref="P67" authorId="0" shapeId="0" xr:uid="{21353768-3214-4FE0-AAD7-9A073F07CFF1}">
      <text>
        <r>
          <rPr>
            <b/>
            <sz val="9"/>
            <color indexed="81"/>
            <rFont val="Tahoma"/>
            <family val="2"/>
          </rPr>
          <t>Marae:</t>
        </r>
        <r>
          <rPr>
            <sz val="9"/>
            <color indexed="81"/>
            <rFont val="Tahoma"/>
            <family val="2"/>
          </rPr>
          <t xml:space="preserve">
-300 ml de Nov Sn Fco Persa Noe cobrados en Nov
</t>
        </r>
      </text>
    </comment>
    <comment ref="C79" authorId="0" shapeId="0" xr:uid="{D1A870B1-0B99-4734-8107-7581F3BA7F67}">
      <text>
        <r>
          <rPr>
            <b/>
            <sz val="9"/>
            <color indexed="81"/>
            <rFont val="Tahoma"/>
            <family val="2"/>
          </rPr>
          <t>Marae:</t>
        </r>
        <r>
          <rPr>
            <sz val="9"/>
            <color indexed="81"/>
            <rFont val="Tahoma"/>
            <family val="2"/>
          </rPr>
          <t xml:space="preserve">
Incluye Almacen y Otros Gastos</t>
        </r>
      </text>
    </comment>
    <comment ref="D85" authorId="0" shapeId="0" xr:uid="{028DFFF5-5310-4334-9B66-42BD1A2DA378}">
      <text>
        <r>
          <rPr>
            <b/>
            <sz val="9"/>
            <color indexed="81"/>
            <rFont val="Tahoma"/>
            <family val="2"/>
          </rPr>
          <t>Marae:</t>
        </r>
        <r>
          <rPr>
            <sz val="9"/>
            <color indexed="81"/>
            <rFont val="Tahoma"/>
            <family val="2"/>
          </rPr>
          <t xml:space="preserve">
=SI(D16&gt;0,D31/D16,0)</t>
        </r>
      </text>
    </comment>
    <comment ref="C90" authorId="0" shapeId="0" xr:uid="{07F03A0A-C332-4EF9-A60A-ED5724AEEA92}">
      <text>
        <r>
          <rPr>
            <b/>
            <sz val="9"/>
            <color indexed="81"/>
            <rFont val="Tahoma"/>
            <family val="2"/>
          </rPr>
          <t>Marae:</t>
        </r>
        <r>
          <rPr>
            <sz val="9"/>
            <color indexed="81"/>
            <rFont val="Tahoma"/>
            <family val="2"/>
          </rPr>
          <t xml:space="preserve">
En administrativos Almacen</t>
        </r>
      </text>
    </comment>
    <comment ref="C91" authorId="0" shapeId="0" xr:uid="{5E936E34-85B8-4F83-B293-E70A9B2EC2C4}">
      <text>
        <r>
          <rPr>
            <b/>
            <sz val="9"/>
            <color indexed="81"/>
            <rFont val="Tahoma"/>
            <family val="2"/>
          </rPr>
          <t>Marae:</t>
        </r>
        <r>
          <rPr>
            <sz val="9"/>
            <color indexed="81"/>
            <rFont val="Tahoma"/>
            <family val="2"/>
          </rPr>
          <t xml:space="preserve">
Incluye Almacen y otros gastos</t>
        </r>
      </text>
    </comment>
    <comment ref="C92" authorId="1" shapeId="0" xr:uid="{180821E2-1B11-4996-9FB5-F05751A0B8C5}">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92" authorId="0" shapeId="0" xr:uid="{AB6B5C9A-B1AC-4A1C-B257-50BC1F743214}">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94" authorId="0" shapeId="0" xr:uid="{6325E4AE-339B-4C32-8110-2A56C0632497}">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C104" authorId="0" shapeId="0" xr:uid="{FDAF35F2-DA71-4747-BA0A-321260CA6186}">
      <text>
        <r>
          <rPr>
            <b/>
            <sz val="9"/>
            <color indexed="81"/>
            <rFont val="Tahoma"/>
            <family val="2"/>
          </rPr>
          <t>Marae:</t>
        </r>
        <r>
          <rPr>
            <sz val="9"/>
            <color indexed="81"/>
            <rFont val="Tahoma"/>
            <family val="2"/>
          </rPr>
          <t xml:space="preserve">
Estimado considerando solo el 50% del COSTO TOTAL</t>
        </r>
      </text>
    </comment>
    <comment ref="D115" authorId="0" shapeId="0" xr:uid="{6FCF6CD8-07D4-4379-9C32-400D5CE81933}">
      <text>
        <r>
          <rPr>
            <b/>
            <sz val="9"/>
            <color indexed="81"/>
            <rFont val="Tahoma"/>
            <family val="2"/>
          </rPr>
          <t>Marae:</t>
        </r>
        <r>
          <rPr>
            <sz val="9"/>
            <color indexed="81"/>
            <rFont val="Tahoma"/>
            <family val="2"/>
          </rPr>
          <t xml:space="preserve">
Inventario cero planta b
en almacen marca 700 L cierre dic</t>
        </r>
      </text>
    </comment>
    <comment ref="D116" authorId="0" shapeId="0" xr:uid="{CA3F3F36-137E-4F9F-99D4-76538EE82C6E}">
      <text>
        <r>
          <rPr>
            <b/>
            <sz val="9"/>
            <color indexed="81"/>
            <rFont val="Tahoma"/>
            <family val="2"/>
          </rPr>
          <t>Marae:</t>
        </r>
        <r>
          <rPr>
            <sz val="9"/>
            <color indexed="81"/>
            <rFont val="Tahoma"/>
            <family val="2"/>
          </rPr>
          <t xml:space="preserve">
Inventario cero Planta b
en almacen marca 320 L cierre dic</t>
        </r>
      </text>
    </comment>
    <comment ref="D117" authorId="0" shapeId="0" xr:uid="{B03DAF0B-D77F-46BF-AD47-6C5857B47343}">
      <text>
        <r>
          <rPr>
            <b/>
            <sz val="9"/>
            <color indexed="81"/>
            <rFont val="Tahoma"/>
            <family val="2"/>
          </rPr>
          <t>Marae:</t>
        </r>
        <r>
          <rPr>
            <sz val="9"/>
            <color indexed="81"/>
            <rFont val="Tahoma"/>
            <family val="2"/>
          </rPr>
          <t xml:space="preserve">
Se cerro el 2023 con 580 L en inventario</t>
        </r>
      </text>
    </comment>
    <comment ref="D118" authorId="0" shapeId="0" xr:uid="{604B010B-039B-463C-8CA6-E82EB39B8FA9}">
      <text>
        <r>
          <rPr>
            <b/>
            <sz val="9"/>
            <color indexed="81"/>
            <rFont val="Tahoma"/>
            <family val="2"/>
          </rPr>
          <t>Marae:</t>
        </r>
        <r>
          <rPr>
            <sz val="9"/>
            <color indexed="81"/>
            <rFont val="Tahoma"/>
            <family val="2"/>
          </rPr>
          <t xml:space="preserve">
2000 se producen
1,520 salen 
480 en fisico en planta b</t>
        </r>
      </text>
    </comment>
    <comment ref="E123" authorId="0" shapeId="0" xr:uid="{7D4910E2-4394-4B69-8315-565A9447F0A9}">
      <text>
        <r>
          <rPr>
            <b/>
            <sz val="9"/>
            <color indexed="81"/>
            <rFont val="Tahoma"/>
            <family val="2"/>
          </rPr>
          <t xml:space="preserve">Marae:
</t>
        </r>
        <r>
          <rPr>
            <sz val="9"/>
            <color indexed="81"/>
            <rFont val="Tahoma"/>
            <family val="2"/>
          </rPr>
          <t>920
1000</t>
        </r>
      </text>
    </comment>
    <comment ref="F123" authorId="0" shapeId="0" xr:uid="{706D9C51-D0D6-4406-80C8-D74C0B65DA3F}">
      <text>
        <r>
          <rPr>
            <b/>
            <sz val="9"/>
            <color indexed="81"/>
            <rFont val="Tahoma"/>
            <family val="2"/>
          </rPr>
          <t>Marae:</t>
        </r>
        <r>
          <rPr>
            <sz val="9"/>
            <color indexed="81"/>
            <rFont val="Tahoma"/>
            <family val="2"/>
          </rPr>
          <t xml:space="preserve">
1600
1840</t>
        </r>
      </text>
    </comment>
    <comment ref="G123" authorId="0" shapeId="0" xr:uid="{BF81011C-7147-4BF3-8951-45BBAFCB9CE1}">
      <text>
        <r>
          <rPr>
            <b/>
            <sz val="9"/>
            <color indexed="81"/>
            <rFont val="Tahoma"/>
            <family val="2"/>
          </rPr>
          <t>Marae:</t>
        </r>
        <r>
          <rPr>
            <sz val="9"/>
            <color indexed="81"/>
            <rFont val="Tahoma"/>
            <family val="2"/>
          </rPr>
          <t xml:space="preserve">
1400
1660</t>
        </r>
      </text>
    </comment>
    <comment ref="C151" authorId="0" shapeId="0" xr:uid="{0013E820-2DF4-45F1-892B-BB831464355A}">
      <text>
        <r>
          <rPr>
            <b/>
            <sz val="9"/>
            <color indexed="81"/>
            <rFont val="Tahoma"/>
            <family val="2"/>
          </rPr>
          <t>Marae:</t>
        </r>
        <r>
          <rPr>
            <sz val="9"/>
            <color indexed="81"/>
            <rFont val="Tahoma"/>
            <family val="2"/>
          </rPr>
          <t xml:space="preserve">
Incluye Almacen y Otros Gastos</t>
        </r>
      </text>
    </comment>
    <comment ref="D156" authorId="0" shapeId="0" xr:uid="{83002CB1-92D8-4D40-B30B-AA80F4C3B882}">
      <text>
        <r>
          <rPr>
            <b/>
            <sz val="9"/>
            <color indexed="81"/>
            <rFont val="Tahoma"/>
            <family val="2"/>
          </rPr>
          <t>Marae:</t>
        </r>
        <r>
          <rPr>
            <sz val="9"/>
            <color indexed="81"/>
            <rFont val="Tahoma"/>
            <family val="2"/>
          </rPr>
          <t xml:space="preserve">
=SI(D16&gt;0,D31/D16,0)</t>
        </r>
      </text>
    </comment>
    <comment ref="C160" authorId="0" shapeId="0" xr:uid="{511B6392-C864-447A-A47E-93F1BAAF7715}">
      <text>
        <r>
          <rPr>
            <b/>
            <sz val="9"/>
            <color indexed="81"/>
            <rFont val="Tahoma"/>
            <family val="2"/>
          </rPr>
          <t>Marae:</t>
        </r>
        <r>
          <rPr>
            <sz val="9"/>
            <color indexed="81"/>
            <rFont val="Tahoma"/>
            <family val="2"/>
          </rPr>
          <t xml:space="preserve">
Incluye Almacen y otros gastos</t>
        </r>
      </text>
    </comment>
    <comment ref="C161" authorId="1" shapeId="0" xr:uid="{F3D58AEA-BC40-433C-84E8-C6B29C3F8D5B}">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161" authorId="0" shapeId="0" xr:uid="{DD196BB5-1A22-49CA-8F60-70F457D20F4F}">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163" authorId="0" shapeId="0" xr:uid="{D1AFC025-87FD-48F4-AFCD-F3B5E26D2CDE}">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C165" authorId="0" shapeId="0" xr:uid="{70678776-F750-4A08-AD8F-906D9B210288}">
      <text>
        <r>
          <rPr>
            <b/>
            <sz val="9"/>
            <color indexed="81"/>
            <rFont val="Tahoma"/>
            <family val="2"/>
          </rPr>
          <t>Marae:</t>
        </r>
        <r>
          <rPr>
            <sz val="9"/>
            <color indexed="81"/>
            <rFont val="Tahoma"/>
            <family val="2"/>
          </rPr>
          <t xml:space="preserve">
Garrafas y Etiquetas de Mat. Prima 2023, no se toma el de TD</t>
        </r>
      </text>
    </comment>
    <comment ref="E165" authorId="0" shapeId="0" xr:uid="{27DD0B92-E2F7-45E6-8E79-2E90A7BDE024}">
      <text>
        <r>
          <rPr>
            <b/>
            <sz val="9"/>
            <color indexed="81"/>
            <rFont val="Tahoma"/>
            <family val="2"/>
          </rPr>
          <t>Marae:</t>
        </r>
        <r>
          <rPr>
            <sz val="9"/>
            <color indexed="81"/>
            <rFont val="Tahoma"/>
            <family val="2"/>
          </rPr>
          <t xml:space="preserve">
Bidon y Etiqueta</t>
        </r>
      </text>
    </comment>
    <comment ref="P181" authorId="0" shapeId="0" xr:uid="{1E25F704-70D6-496A-9CB2-15666875F576}">
      <text>
        <r>
          <rPr>
            <b/>
            <sz val="9"/>
            <color indexed="81"/>
            <rFont val="Tahoma"/>
            <family val="2"/>
          </rPr>
          <t>Marae:</t>
        </r>
        <r>
          <rPr>
            <sz val="9"/>
            <color indexed="81"/>
            <rFont val="Tahoma"/>
            <family val="2"/>
          </rPr>
          <t xml:space="preserve">
Se esta considerando las 80,000 de enero 24
11,800 estimado de Feb/24</t>
        </r>
      </text>
    </comment>
    <comment ref="K185" authorId="0" shapeId="0" xr:uid="{EFA2436D-E414-445F-AD74-6D8B9B08F068}">
      <text>
        <r>
          <rPr>
            <b/>
            <sz val="9"/>
            <color indexed="81"/>
            <rFont val="Tahoma"/>
            <family val="2"/>
          </rPr>
          <t>Marae:</t>
        </r>
        <r>
          <rPr>
            <sz val="9"/>
            <color indexed="81"/>
            <rFont val="Tahoma"/>
            <family val="2"/>
          </rPr>
          <t xml:space="preserve">
No los tiene Carlos</t>
        </r>
      </text>
    </comment>
    <comment ref="D186" authorId="0" shapeId="0" xr:uid="{C05D3F16-AAD6-4246-8D1F-7A7E2B967FD9}">
      <text>
        <r>
          <rPr>
            <b/>
            <sz val="9"/>
            <color indexed="81"/>
            <rFont val="Tahoma"/>
            <family val="2"/>
          </rPr>
          <t>Marae:</t>
        </r>
        <r>
          <rPr>
            <sz val="9"/>
            <color indexed="81"/>
            <rFont val="Tahoma"/>
            <family val="2"/>
          </rPr>
          <t xml:space="preserve">
Carlos solo tiene hasta octubre y con una diferencia de 960 L</t>
        </r>
      </text>
    </comment>
    <comment ref="O186" authorId="0" shapeId="0" xr:uid="{5919BDE8-CBA1-43BD-B24F-D12D45020F33}">
      <text>
        <r>
          <rPr>
            <b/>
            <sz val="9"/>
            <color indexed="81"/>
            <rFont val="Tahoma"/>
            <family val="2"/>
          </rPr>
          <t>Marae:</t>
        </r>
        <r>
          <rPr>
            <sz val="9"/>
            <color indexed="81"/>
            <rFont val="Tahoma"/>
            <family val="2"/>
          </rPr>
          <t xml:space="preserve">
480 de BD
740 de sistema
dejo solo 200 por ajuste libre</t>
        </r>
      </text>
    </comment>
    <comment ref="P186" authorId="0" shapeId="0" xr:uid="{21693BE8-7C43-4B29-A308-43DB3AB43AF9}">
      <text>
        <r>
          <rPr>
            <b/>
            <sz val="9"/>
            <color indexed="81"/>
            <rFont val="Tahoma"/>
            <family val="2"/>
          </rPr>
          <t>Marae:</t>
        </r>
        <r>
          <rPr>
            <sz val="9"/>
            <color indexed="81"/>
            <rFont val="Tahoma"/>
            <family val="2"/>
          </rPr>
          <t xml:space="preserve">
1,020 de BD
820 de sistema, dejo por ajuste manual
100</t>
        </r>
      </text>
    </comment>
    <comment ref="O189" authorId="0" shapeId="0" xr:uid="{D9A927A6-13E2-41C0-AFB7-62230EB62872}">
      <text>
        <r>
          <rPr>
            <b/>
            <sz val="9"/>
            <color indexed="81"/>
            <rFont val="Tahoma"/>
            <family val="2"/>
          </rPr>
          <t>Marae:</t>
        </r>
        <r>
          <rPr>
            <sz val="9"/>
            <color indexed="81"/>
            <rFont val="Tahoma"/>
            <family val="2"/>
          </rPr>
          <t xml:space="preserve">
BD mia tengo 
29,400 kg</t>
        </r>
      </text>
    </comment>
    <comment ref="E209" authorId="0" shapeId="0" xr:uid="{5AD38404-CDEB-40F6-B7FB-3EF0C943D89C}">
      <text>
        <r>
          <rPr>
            <b/>
            <sz val="9"/>
            <color indexed="81"/>
            <rFont val="Tahoma"/>
            <family val="2"/>
          </rPr>
          <t>Marae:</t>
        </r>
        <r>
          <rPr>
            <sz val="9"/>
            <color indexed="81"/>
            <rFont val="Tahoma"/>
            <family val="2"/>
          </rPr>
          <t xml:space="preserve">
CFE</t>
        </r>
      </text>
    </comment>
    <comment ref="C210" authorId="0" shapeId="0" xr:uid="{7B43A2A7-4479-4272-866B-3476BF46F629}">
      <text>
        <r>
          <rPr>
            <b/>
            <sz val="9"/>
            <color indexed="81"/>
            <rFont val="Tahoma"/>
            <family val="2"/>
          </rPr>
          <t>Marae:</t>
        </r>
        <r>
          <rPr>
            <sz val="9"/>
            <color indexed="81"/>
            <rFont val="Tahoma"/>
            <family val="2"/>
          </rPr>
          <t xml:space="preserve">
Incluye Almacen y Otros Gastos</t>
        </r>
      </text>
    </comment>
    <comment ref="C211" authorId="0" shapeId="0" xr:uid="{FBC9D570-6462-4A59-80C5-F017A25861D3}">
      <text>
        <r>
          <rPr>
            <b/>
            <sz val="9"/>
            <color indexed="81"/>
            <rFont val="Tahoma"/>
            <family val="2"/>
          </rPr>
          <t>Marae:</t>
        </r>
        <r>
          <rPr>
            <sz val="9"/>
            <color indexed="81"/>
            <rFont val="Tahoma"/>
            <family val="2"/>
          </rPr>
          <t xml:space="preserve">
Incluye Almacen y Otros Gastos</t>
        </r>
      </text>
    </comment>
    <comment ref="C212" authorId="0" shapeId="0" xr:uid="{F5906E56-B562-4155-AE64-7E5DA65DB417}">
      <text>
        <r>
          <rPr>
            <b/>
            <sz val="9"/>
            <color indexed="81"/>
            <rFont val="Tahoma"/>
            <family val="2"/>
          </rPr>
          <t>Marae:</t>
        </r>
        <r>
          <rPr>
            <sz val="9"/>
            <color indexed="81"/>
            <rFont val="Tahoma"/>
            <family val="2"/>
          </rPr>
          <t xml:space="preserve">
Incluye Almacen y Otros Gastos</t>
        </r>
      </text>
    </comment>
    <comment ref="C213" authorId="0" shapeId="0" xr:uid="{E19F5574-0A63-4039-91E1-6C8190A721FE}">
      <text>
        <r>
          <rPr>
            <b/>
            <sz val="9"/>
            <color indexed="81"/>
            <rFont val="Tahoma"/>
            <family val="2"/>
          </rPr>
          <t>Marae:</t>
        </r>
        <r>
          <rPr>
            <sz val="9"/>
            <color indexed="81"/>
            <rFont val="Tahoma"/>
            <family val="2"/>
          </rPr>
          <t xml:space="preserve">
OTROS GASTOS
CFE</t>
        </r>
      </text>
    </comment>
    <comment ref="D218" authorId="0" shapeId="0" xr:uid="{9E2343CB-A389-4904-924D-A1587B2E1088}">
      <text>
        <r>
          <rPr>
            <b/>
            <sz val="9"/>
            <color indexed="81"/>
            <rFont val="Tahoma"/>
            <family val="2"/>
          </rPr>
          <t>Marae:</t>
        </r>
        <r>
          <rPr>
            <sz val="9"/>
            <color indexed="81"/>
            <rFont val="Tahoma"/>
            <family val="2"/>
          </rPr>
          <t xml:space="preserve">
=SI(D16&gt;0,D31/D16,0)</t>
        </r>
      </text>
    </comment>
    <comment ref="C222" authorId="0" shapeId="0" xr:uid="{2C47B33A-0EC5-4EB3-AA2F-6744512F47C8}">
      <text>
        <r>
          <rPr>
            <b/>
            <sz val="9"/>
            <color indexed="81"/>
            <rFont val="Tahoma"/>
            <family val="2"/>
          </rPr>
          <t>Marae:</t>
        </r>
        <r>
          <rPr>
            <sz val="9"/>
            <color indexed="81"/>
            <rFont val="Tahoma"/>
            <family val="2"/>
          </rPr>
          <t xml:space="preserve">
Incluye Almacen y otros gastos</t>
        </r>
      </text>
    </comment>
    <comment ref="C223" authorId="1" shapeId="0" xr:uid="{D510A182-A2E4-4093-9BD3-1308B993F73C}">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223" authorId="0" shapeId="0" xr:uid="{26DA36A9-494D-448D-B0B1-CEBFDCB5AF2F}">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225" authorId="0" shapeId="0" xr:uid="{EAC03831-9990-4A09-BBF8-7A6376A36A99}">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C227" authorId="0" shapeId="0" xr:uid="{C73BF329-8A3A-4097-859F-2587FD710A6D}">
      <text>
        <r>
          <rPr>
            <b/>
            <sz val="9"/>
            <color indexed="81"/>
            <rFont val="Tahoma"/>
            <family val="2"/>
          </rPr>
          <t>Marae:</t>
        </r>
        <r>
          <rPr>
            <sz val="9"/>
            <color indexed="81"/>
            <rFont val="Tahoma"/>
            <family val="2"/>
          </rPr>
          <t xml:space="preserve">
Garrafas y Etiquetas de Mat. Prima 2023, no se toma el de TD</t>
        </r>
      </text>
    </comment>
    <comment ref="C231" authorId="0" shapeId="0" xr:uid="{ADB79A1E-6963-4C02-A7F8-63BD1D9927EC}">
      <text>
        <r>
          <rPr>
            <b/>
            <sz val="9"/>
            <color indexed="81"/>
            <rFont val="Tahoma"/>
            <family val="2"/>
          </rPr>
          <t>Marae:</t>
        </r>
        <r>
          <rPr>
            <sz val="9"/>
            <color indexed="81"/>
            <rFont val="Tahoma"/>
            <family val="2"/>
          </rPr>
          <t xml:space="preserve">
Sin insumos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INVESTIGACION1</author>
    <author>Marae Cisneros</author>
    <author>MC</author>
    <author>Autor</author>
    <author>AGROECOLOGIA</author>
  </authors>
  <commentList>
    <comment ref="E3" authorId="0" shapeId="0" xr:uid="{15FC8F8B-1D27-41B5-9FDA-A8F77AA41F08}">
      <text>
        <r>
          <rPr>
            <b/>
            <sz val="11"/>
            <color indexed="81"/>
            <rFont val="Tahoma"/>
            <family val="2"/>
          </rPr>
          <t>Unidad</t>
        </r>
      </text>
    </comment>
    <comment ref="F3" authorId="0" shapeId="0" xr:uid="{340D0740-C600-4363-9DEB-53B47059CA1E}">
      <text>
        <r>
          <rPr>
            <b/>
            <sz val="11"/>
            <color indexed="81"/>
            <rFont val="Tahoma"/>
            <family val="2"/>
          </rPr>
          <t>Densidad</t>
        </r>
        <r>
          <rPr>
            <sz val="11"/>
            <color indexed="81"/>
            <rFont val="Tahoma"/>
            <family val="2"/>
          </rPr>
          <t xml:space="preserve">
</t>
        </r>
      </text>
    </comment>
    <comment ref="H3" authorId="1" shapeId="0" xr:uid="{7F106C72-F697-447F-B0E3-B766FBE0142E}">
      <text>
        <r>
          <rPr>
            <b/>
            <sz val="9"/>
            <color indexed="81"/>
            <rFont val="Tahoma"/>
            <family val="2"/>
          </rPr>
          <t>Marae Cisneros:</t>
        </r>
        <r>
          <rPr>
            <sz val="9"/>
            <color indexed="81"/>
            <rFont val="Tahoma"/>
            <family val="2"/>
          </rPr>
          <t xml:space="preserve">
Ya ingreso en fisico y en sistema</t>
        </r>
      </text>
    </comment>
    <comment ref="I3" authorId="0" shapeId="0" xr:uid="{B67C606D-464A-4138-B339-9D1428EC0143}">
      <text>
        <r>
          <rPr>
            <b/>
            <sz val="9"/>
            <color indexed="81"/>
            <rFont val="Tahoma"/>
            <family val="2"/>
          </rPr>
          <t>Producto terminado</t>
        </r>
        <r>
          <rPr>
            <sz val="9"/>
            <color indexed="81"/>
            <rFont val="Tahoma"/>
            <family val="2"/>
          </rPr>
          <t xml:space="preserve">
</t>
        </r>
      </text>
    </comment>
    <comment ref="K3" authorId="0" shapeId="0" xr:uid="{1F3FC2C4-711E-42E7-8F58-9797045E7E5E}">
      <text>
        <r>
          <rPr>
            <b/>
            <sz val="9"/>
            <color indexed="81"/>
            <rFont val="Tahoma"/>
            <family val="2"/>
          </rPr>
          <t>INVESTIGACION1:</t>
        </r>
        <r>
          <rPr>
            <sz val="9"/>
            <color indexed="81"/>
            <rFont val="Tahoma"/>
            <family val="2"/>
          </rPr>
          <t xml:space="preserve">
Kg/densidad</t>
        </r>
      </text>
    </comment>
    <comment ref="M3" authorId="2" shapeId="0" xr:uid="{14664D76-C115-4805-85DE-620F450D188A}">
      <text>
        <r>
          <rPr>
            <b/>
            <sz val="9"/>
            <color indexed="81"/>
            <rFont val="Tahoma"/>
            <family val="2"/>
          </rPr>
          <t>MC:</t>
        </r>
        <r>
          <rPr>
            <sz val="9"/>
            <color indexed="81"/>
            <rFont val="Tahoma"/>
            <family val="2"/>
          </rPr>
          <t xml:space="preserve">
$ EN PESOS</t>
        </r>
      </text>
    </comment>
    <comment ref="H7" authorId="0" shapeId="0" xr:uid="{4C5806F7-618C-406B-AD9F-215A0141892D}">
      <text>
        <r>
          <rPr>
            <b/>
            <sz val="9"/>
            <color indexed="81"/>
            <rFont val="Tahoma"/>
            <family val="2"/>
          </rPr>
          <t>INVESTIGACION1:</t>
        </r>
        <r>
          <rPr>
            <sz val="9"/>
            <color indexed="81"/>
            <rFont val="Tahoma"/>
            <family val="2"/>
          </rPr>
          <t xml:space="preserve">
  25 Kg   08-dic (OFICINA)</t>
        </r>
      </text>
    </comment>
    <comment ref="D8" authorId="2" shapeId="0" xr:uid="{3477E25A-3465-46FC-994B-A69FB17D9AD1}">
      <text>
        <r>
          <rPr>
            <b/>
            <sz val="9"/>
            <color indexed="81"/>
            <rFont val="Tahoma"/>
            <family val="2"/>
          </rPr>
          <t>MC:</t>
        </r>
        <r>
          <rPr>
            <sz val="9"/>
            <color indexed="81"/>
            <rFont val="Tahoma"/>
            <family val="2"/>
          </rPr>
          <t xml:space="preserve">
99.5%</t>
        </r>
      </text>
    </comment>
    <comment ref="H11" authorId="0" shapeId="0" xr:uid="{DF20F8F9-6813-42CC-A4FB-07AED8CF60C3}">
      <text>
        <r>
          <rPr>
            <b/>
            <sz val="8"/>
            <color indexed="81"/>
            <rFont val="Cambria"/>
            <family val="1"/>
            <scheme val="major"/>
          </rPr>
          <t xml:space="preserve">                                       2 0 2 4
09-Ene__200 L
11-Ene__200 (pretados) restan 800 L
17-Ene__400 L restan 400 L</t>
        </r>
      </text>
    </comment>
    <comment ref="I11" authorId="0" shapeId="0" xr:uid="{28C718C8-8060-4FD4-83F7-DA6EA53E3C50}">
      <text>
        <r>
          <rPr>
            <b/>
            <sz val="9"/>
            <color indexed="81"/>
            <rFont val="Tahoma"/>
            <family val="2"/>
          </rPr>
          <t>INVESTIGACION1:</t>
        </r>
        <r>
          <rPr>
            <sz val="9"/>
            <color indexed="81"/>
            <rFont val="Tahoma"/>
            <family val="2"/>
          </rPr>
          <t xml:space="preserve">
</t>
        </r>
        <r>
          <rPr>
            <sz val="8"/>
            <color indexed="81"/>
            <rFont val="Tahoma"/>
            <family val="2"/>
          </rPr>
          <t>Se utilizaron 2 L para aplicación de JS en AE-15dic</t>
        </r>
      </text>
    </comment>
    <comment ref="I13" authorId="0" shapeId="0" xr:uid="{6F58DDFB-BCC0-4CD5-A43B-6D95DC4D5348}">
      <text>
        <r>
          <rPr>
            <b/>
            <sz val="9"/>
            <color indexed="81"/>
            <rFont val="Tahoma"/>
            <family val="2"/>
          </rPr>
          <t>INVESTIGACION1:</t>
        </r>
        <r>
          <rPr>
            <sz val="9"/>
            <color indexed="81"/>
            <rFont val="Tahoma"/>
            <family val="2"/>
          </rPr>
          <t xml:space="preserve">
</t>
        </r>
        <r>
          <rPr>
            <sz val="8"/>
            <color indexed="81"/>
            <rFont val="Tahoma"/>
            <family val="2"/>
          </rPr>
          <t>Producto utilizado en aplicaciones de pruebas AE Planta B</t>
        </r>
      </text>
    </comment>
    <comment ref="D16" authorId="3" shapeId="0" xr:uid="{DB5F27E2-4449-417E-B305-F2FE2F1DB0B8}">
      <text>
        <r>
          <rPr>
            <b/>
            <sz val="9"/>
            <color indexed="81"/>
            <rFont val="Tahoma"/>
            <family val="2"/>
          </rPr>
          <t>Autor:</t>
        </r>
        <r>
          <rPr>
            <sz val="9"/>
            <color indexed="81"/>
            <rFont val="Tahoma"/>
            <family val="2"/>
          </rPr>
          <t xml:space="preserve">
[18:46:00]
</t>
        </r>
      </text>
    </comment>
    <comment ref="D17" authorId="0" shapeId="0" xr:uid="{C80F8EE2-0DD7-453B-9A62-0D4A9DCF6EE9}">
      <text>
        <r>
          <rPr>
            <b/>
            <sz val="8"/>
            <color indexed="81"/>
            <rFont val="Cambria"/>
            <family val="1"/>
            <scheme val="major"/>
          </rPr>
          <t xml:space="preserve">   N P K
[</t>
        </r>
        <r>
          <rPr>
            <sz val="8"/>
            <color indexed="81"/>
            <rFont val="Cambria"/>
            <family val="1"/>
            <scheme val="major"/>
          </rPr>
          <t>12-61-0</t>
        </r>
        <r>
          <rPr>
            <b/>
            <sz val="8"/>
            <color indexed="81"/>
            <rFont val="Cambria"/>
            <family val="1"/>
            <scheme val="major"/>
          </rPr>
          <t>]</t>
        </r>
        <r>
          <rPr>
            <sz val="8"/>
            <color indexed="81"/>
            <rFont val="Cambria"/>
            <family val="1"/>
            <scheme val="major"/>
          </rPr>
          <t xml:space="preserve">
</t>
        </r>
      </text>
    </comment>
    <comment ref="I17" authorId="0" shapeId="0" xr:uid="{D86E4C8D-4758-4C32-BB34-7C27D042F6D8}">
      <text>
        <r>
          <rPr>
            <b/>
            <sz val="9"/>
            <color indexed="81"/>
            <rFont val="Tahoma"/>
            <family val="2"/>
          </rPr>
          <t>INVESTIGACION1:</t>
        </r>
        <r>
          <rPr>
            <sz val="9"/>
            <color indexed="81"/>
            <rFont val="Tahoma"/>
            <family val="2"/>
          </rPr>
          <t xml:space="preserve">
Se utilizó 7.1 kg para fertilizar plantas clones de seguimiento en Vivero</t>
        </r>
      </text>
    </comment>
    <comment ref="D19" authorId="2" shapeId="0" xr:uid="{1C867E96-FD5B-479A-BD6A-D92613DF8BEF}">
      <text>
        <r>
          <rPr>
            <b/>
            <sz val="9"/>
            <color indexed="81"/>
            <rFont val="Tahoma"/>
            <family val="2"/>
          </rPr>
          <t>MC:</t>
        </r>
        <r>
          <rPr>
            <sz val="9"/>
            <color indexed="81"/>
            <rFont val="Tahoma"/>
            <family val="2"/>
          </rPr>
          <t xml:space="preserve">
20%</t>
        </r>
      </text>
    </comment>
    <comment ref="D20" authorId="2" shapeId="0" xr:uid="{FE79C021-833D-4AB7-BE24-844C9E3D7D89}">
      <text>
        <r>
          <rPr>
            <b/>
            <sz val="9"/>
            <color indexed="81"/>
            <rFont val="Tahoma"/>
            <family val="2"/>
          </rPr>
          <t>MC:</t>
        </r>
        <r>
          <rPr>
            <sz val="9"/>
            <color indexed="81"/>
            <rFont val="Tahoma"/>
            <family val="2"/>
          </rPr>
          <t xml:space="preserve">
22%</t>
        </r>
      </text>
    </comment>
    <comment ref="D21" authorId="2" shapeId="0" xr:uid="{5948EF19-7D72-4673-917F-7F4CCE2E1578}">
      <text>
        <r>
          <rPr>
            <b/>
            <sz val="9"/>
            <color indexed="81"/>
            <rFont val="Tahoma"/>
            <family val="2"/>
          </rPr>
          <t>MC:</t>
        </r>
        <r>
          <rPr>
            <sz val="9"/>
            <color indexed="81"/>
            <rFont val="Tahoma"/>
            <family val="2"/>
          </rPr>
          <t xml:space="preserve">
26%</t>
        </r>
      </text>
    </comment>
    <comment ref="D22" authorId="0" shapeId="0" xr:uid="{E63B884B-FBDF-47C5-A2E5-89032F83AF89}">
      <text>
        <r>
          <rPr>
            <sz val="9"/>
            <color indexed="81"/>
            <rFont val="Times New Roman"/>
            <family val="1"/>
          </rPr>
          <t>En la formulacion de MRF se emplea el NaOH al 70% esto es 71.4 kg/100 L por lo tanto la densidad es de 1kg = 1.4 L o
1 L = 0.714 kg</t>
        </r>
        <r>
          <rPr>
            <sz val="9"/>
            <color indexed="81"/>
            <rFont val="Tahoma"/>
            <family val="2"/>
          </rPr>
          <t xml:space="preserve">
</t>
        </r>
      </text>
    </comment>
    <comment ref="I22" authorId="0" shapeId="0" xr:uid="{88AF16E5-61C5-4371-AC05-6F858A3E1293}">
      <text>
        <r>
          <rPr>
            <sz val="9"/>
            <color indexed="81"/>
            <rFont val="Cambria"/>
            <family val="1"/>
            <scheme val="major"/>
          </rPr>
          <t>En la formulacion de MRF se emplea el NaOH al 70% esto es 71.4 kg/100 L por lo tanto la densidad es de 1kg = 1.4 L o
1 L = 0.714 kg</t>
        </r>
      </text>
    </comment>
    <comment ref="H23" authorId="0" shapeId="0" xr:uid="{8812B124-BF34-48B0-A0EE-B85A7D5E2839}">
      <text>
        <r>
          <rPr>
            <b/>
            <sz val="9"/>
            <color indexed="81"/>
            <rFont val="Tahoma"/>
            <family val="2"/>
          </rPr>
          <t>INVESTIGACION1:</t>
        </r>
        <r>
          <rPr>
            <sz val="9"/>
            <color indexed="81"/>
            <rFont val="Tahoma"/>
            <family val="2"/>
          </rPr>
          <t xml:space="preserve">
11-ene  750 L
17-ene  750 L</t>
        </r>
      </text>
    </comment>
    <comment ref="H24" authorId="0" shapeId="0" xr:uid="{E6555583-73F4-402F-B1B6-B75CF7AA0F21}">
      <text>
        <r>
          <rPr>
            <b/>
            <sz val="9"/>
            <color indexed="81"/>
            <rFont val="Tahoma"/>
            <family val="2"/>
          </rPr>
          <t>INVESTIGACION1:</t>
        </r>
        <r>
          <rPr>
            <sz val="9"/>
            <color indexed="81"/>
            <rFont val="Tahoma"/>
            <family val="2"/>
          </rPr>
          <t xml:space="preserve">
11-ene  1,000 L
17-ene  1,000 L</t>
        </r>
      </text>
    </comment>
    <comment ref="I25" authorId="0" shapeId="0" xr:uid="{89E52CB5-532C-4AC7-8898-C59BDC8DCE5B}">
      <text>
        <r>
          <rPr>
            <b/>
            <sz val="9"/>
            <color indexed="81"/>
            <rFont val="Tahoma"/>
            <family val="2"/>
          </rPr>
          <t>INVESTIGACION1:</t>
        </r>
        <r>
          <rPr>
            <sz val="9"/>
            <color indexed="81"/>
            <rFont val="Tahoma"/>
            <family val="2"/>
          </rPr>
          <t xml:space="preserve">
Fertilización de pitahayas y limones experimentales.</t>
        </r>
      </text>
    </comment>
    <comment ref="D26" authorId="2" shapeId="0" xr:uid="{441C79BC-7AF9-4B4E-873B-8D6112DB02F2}">
      <text>
        <r>
          <rPr>
            <b/>
            <sz val="9"/>
            <color indexed="81"/>
            <rFont val="Tahoma"/>
            <family val="2"/>
          </rPr>
          <t>MC:</t>
        </r>
        <r>
          <rPr>
            <sz val="9"/>
            <color indexed="81"/>
            <rFont val="Tahoma"/>
            <family val="2"/>
          </rPr>
          <t xml:space="preserve">
Material a granel en presentacion BIGBAG, el peso se toma de lo empleado para solubilizar</t>
        </r>
      </text>
    </comment>
    <comment ref="D28" authorId="3" shapeId="0" xr:uid="{23A6DBE3-47DC-4508-9FF3-DA934D2602A3}">
      <text>
        <r>
          <rPr>
            <b/>
            <sz val="9"/>
            <color indexed="81"/>
            <rFont val="Tahoma"/>
            <family val="2"/>
          </rPr>
          <t>Autor:</t>
        </r>
        <r>
          <rPr>
            <sz val="9"/>
            <color indexed="81"/>
            <rFont val="Tahoma"/>
            <family val="2"/>
          </rPr>
          <t xml:space="preserve">
[3.98:29.07:0.29]
</t>
        </r>
      </text>
    </comment>
    <comment ref="I28" authorId="0" shapeId="0" xr:uid="{7327A70F-C8F0-4513-AD28-E5EC83A160B6}">
      <text>
        <r>
          <rPr>
            <b/>
            <sz val="9"/>
            <color indexed="81"/>
            <rFont val="Tahoma"/>
            <family val="2"/>
          </rPr>
          <t>INVESTIGACION1:</t>
        </r>
        <r>
          <rPr>
            <sz val="9"/>
            <color indexed="81"/>
            <rFont val="Tahoma"/>
            <family val="2"/>
          </rPr>
          <t xml:space="preserve">
Pruebas OMRI</t>
        </r>
      </text>
    </comment>
    <comment ref="M28" authorId="4" shapeId="0" xr:uid="{BBCB075C-B63B-4EB2-83E5-6663B99AD011}">
      <text>
        <r>
          <rPr>
            <b/>
            <sz val="9"/>
            <color indexed="81"/>
            <rFont val="Tahoma"/>
            <family val="2"/>
          </rPr>
          <t>AGROECOLOGIA:</t>
        </r>
        <r>
          <rPr>
            <sz val="9"/>
            <color indexed="81"/>
            <rFont val="Tahoma"/>
            <family val="2"/>
          </rPr>
          <t xml:space="preserve">
BULTO DE 25 Kg
$145.00 mas envio
$5.8/kg mas $5 envio</t>
        </r>
      </text>
    </comment>
    <comment ref="M29" authorId="2" shapeId="0" xr:uid="{7CFD80BE-0B45-4797-8F20-75A83D450296}">
      <text>
        <r>
          <rPr>
            <b/>
            <sz val="9"/>
            <color indexed="81"/>
            <rFont val="Tahoma"/>
            <family val="2"/>
          </rPr>
          <t>MC:</t>
        </r>
        <r>
          <rPr>
            <sz val="9"/>
            <color indexed="81"/>
            <rFont val="Tahoma"/>
            <family val="2"/>
          </rPr>
          <t xml:space="preserve">
($ dls/Kg *tc)/densidad
0.929</t>
        </r>
      </text>
    </comment>
    <comment ref="M36" authorId="2" shapeId="0" xr:uid="{24C5FEE2-53DB-4A62-85AE-39717315C15F}">
      <text>
        <r>
          <rPr>
            <b/>
            <sz val="9"/>
            <color indexed="81"/>
            <rFont val="Tahoma"/>
            <family val="2"/>
          </rPr>
          <t>MC:</t>
        </r>
        <r>
          <rPr>
            <sz val="9"/>
            <color indexed="81"/>
            <rFont val="Tahoma"/>
            <family val="2"/>
          </rPr>
          <t xml:space="preserve">
($ dls/Kg *tc)/densidad
0.9105</t>
        </r>
      </text>
    </comment>
    <comment ref="I39" authorId="0" shapeId="0" xr:uid="{5A52FA0B-9E0B-4795-9EEC-91CC6C678840}">
      <text>
        <r>
          <rPr>
            <b/>
            <sz val="8"/>
            <color indexed="81"/>
            <rFont val="Tahoma"/>
            <family val="2"/>
          </rPr>
          <t>Folios:</t>
        </r>
        <r>
          <rPr>
            <sz val="8"/>
            <color indexed="81"/>
            <rFont val="Tahoma"/>
            <family val="2"/>
          </rPr>
          <t xml:space="preserve"> 
693,694, 695,702,703,704</t>
        </r>
      </text>
    </comment>
    <comment ref="M39" authorId="2" shapeId="0" xr:uid="{D7652699-D673-41BE-96EA-A73823EEFE91}">
      <text>
        <r>
          <rPr>
            <b/>
            <sz val="9"/>
            <color indexed="81"/>
            <rFont val="Tahoma"/>
            <family val="2"/>
          </rPr>
          <t>MC:</t>
        </r>
        <r>
          <rPr>
            <sz val="9"/>
            <color indexed="81"/>
            <rFont val="Tahoma"/>
            <family val="2"/>
          </rPr>
          <t xml:space="preserve">
Precio Venta</t>
        </r>
      </text>
    </comment>
    <comment ref="I40" authorId="0" shapeId="0" xr:uid="{EE1F8743-AA19-4A30-AA73-E9D1213B14B8}">
      <text>
        <r>
          <rPr>
            <b/>
            <sz val="8"/>
            <color indexed="81"/>
            <rFont val="Tahoma"/>
            <family val="2"/>
          </rPr>
          <t>Folios:</t>
        </r>
        <r>
          <rPr>
            <sz val="8"/>
            <color indexed="81"/>
            <rFont val="Tahoma"/>
            <family val="2"/>
          </rPr>
          <t xml:space="preserve"> 
696,701</t>
        </r>
      </text>
    </comment>
    <comment ref="M40" authorId="2" shapeId="0" xr:uid="{97889E4E-3999-41BB-9305-D380712BC492}">
      <text>
        <r>
          <rPr>
            <b/>
            <sz val="9"/>
            <color indexed="81"/>
            <rFont val="Tahoma"/>
            <family val="2"/>
          </rPr>
          <t>MC:</t>
        </r>
        <r>
          <rPr>
            <sz val="9"/>
            <color indexed="81"/>
            <rFont val="Tahoma"/>
            <family val="2"/>
          </rPr>
          <t xml:space="preserve">
Precio Venta</t>
        </r>
      </text>
    </comment>
    <comment ref="I41" authorId="0" shapeId="0" xr:uid="{E891D96E-BF51-4F26-845B-61B0AE082F14}">
      <text>
        <r>
          <rPr>
            <b/>
            <sz val="8"/>
            <color indexed="81"/>
            <rFont val="Tahoma"/>
            <family val="2"/>
          </rPr>
          <t xml:space="preserve">Folio: 
</t>
        </r>
        <r>
          <rPr>
            <sz val="8"/>
            <color indexed="81"/>
            <rFont val="Tahoma"/>
            <family val="2"/>
          </rPr>
          <t>691,697,700</t>
        </r>
        <r>
          <rPr>
            <sz val="9"/>
            <color indexed="81"/>
            <rFont val="Tahoma"/>
            <family val="2"/>
          </rPr>
          <t xml:space="preserve">
</t>
        </r>
      </text>
    </comment>
    <comment ref="I42" authorId="0" shapeId="0" xr:uid="{D1B19D74-5ECA-4002-B979-1BE9E37477AC}">
      <text>
        <r>
          <rPr>
            <b/>
            <sz val="8"/>
            <color indexed="81"/>
            <rFont val="Tahoma"/>
            <family val="2"/>
          </rPr>
          <t>Folio:</t>
        </r>
        <r>
          <rPr>
            <sz val="8"/>
            <color indexed="81"/>
            <rFont val="Tahoma"/>
            <family val="2"/>
          </rPr>
          <t xml:space="preserve"> 
692, 698,699</t>
        </r>
      </text>
    </comment>
    <comment ref="M42" authorId="2" shapeId="0" xr:uid="{95A0F889-8D51-460B-BFC3-118AD34FBB84}">
      <text>
        <r>
          <rPr>
            <b/>
            <sz val="9"/>
            <color indexed="81"/>
            <rFont val="Tahoma"/>
            <family val="2"/>
          </rPr>
          <t>MC:</t>
        </r>
        <r>
          <rPr>
            <sz val="9"/>
            <color indexed="81"/>
            <rFont val="Tahoma"/>
            <family val="2"/>
          </rPr>
          <t xml:space="preserve">
Precio Venta</t>
        </r>
      </text>
    </comment>
    <comment ref="I43" authorId="0" shapeId="0" xr:uid="{34E2D37D-7938-4F9F-8292-64C6F577FE5A}">
      <text>
        <r>
          <rPr>
            <b/>
            <sz val="8"/>
            <color indexed="81"/>
            <rFont val="Tahoma"/>
            <family val="2"/>
          </rPr>
          <t xml:space="preserve">Folios:
</t>
        </r>
        <r>
          <rPr>
            <sz val="8"/>
            <color indexed="81"/>
            <rFont val="Tahoma"/>
            <family val="2"/>
          </rPr>
          <t xml:space="preserve">
</t>
        </r>
      </text>
    </comment>
    <comment ref="J43" authorId="0" shapeId="0" xr:uid="{C8B3E5B9-095A-4B89-B6BC-BD50C36CFB01}">
      <text>
        <r>
          <rPr>
            <b/>
            <sz val="9"/>
            <color indexed="81"/>
            <rFont val="Tahoma"/>
            <family val="2"/>
          </rPr>
          <t>INVESTIGACION1:</t>
        </r>
        <r>
          <rPr>
            <sz val="9"/>
            <color indexed="81"/>
            <rFont val="Tahoma"/>
            <family val="2"/>
          </rPr>
          <t xml:space="preserve">
Desgaste de dos garrafas, se derramo el producto.</t>
        </r>
      </text>
    </comment>
    <comment ref="M43" authorId="2" shapeId="0" xr:uid="{47C44E5A-321F-4941-B4CD-3BF19CF988C6}">
      <text>
        <r>
          <rPr>
            <b/>
            <sz val="9"/>
            <color indexed="81"/>
            <rFont val="Tahoma"/>
            <family val="2"/>
          </rPr>
          <t>MC:</t>
        </r>
        <r>
          <rPr>
            <sz val="9"/>
            <color indexed="81"/>
            <rFont val="Tahoma"/>
            <family val="2"/>
          </rPr>
          <t xml:space="preserve">
Precio Venta</t>
        </r>
      </text>
    </comment>
    <comment ref="I44" authorId="0" shapeId="0" xr:uid="{64BA238B-FA29-4D29-A01F-E7F086B81038}">
      <text>
        <r>
          <rPr>
            <b/>
            <sz val="8"/>
            <color indexed="81"/>
            <rFont val="Tahoma"/>
            <family val="2"/>
          </rPr>
          <t>Folio:</t>
        </r>
      </text>
    </comment>
    <comment ref="M44" authorId="2" shapeId="0" xr:uid="{7D73E2B7-94E6-4D08-A880-5DFEFF2F69FB}">
      <text>
        <r>
          <rPr>
            <b/>
            <sz val="9"/>
            <color indexed="81"/>
            <rFont val="Tahoma"/>
            <family val="2"/>
          </rPr>
          <t>MC:</t>
        </r>
        <r>
          <rPr>
            <sz val="9"/>
            <color indexed="81"/>
            <rFont val="Tahoma"/>
            <family val="2"/>
          </rPr>
          <t xml:space="preserve">
Precio Venta</t>
        </r>
      </text>
    </comment>
    <comment ref="I45" authorId="0" shapeId="0" xr:uid="{AA7F0246-EC7B-4427-B57B-E0878912F0F1}">
      <text>
        <r>
          <rPr>
            <b/>
            <sz val="8"/>
            <color indexed="81"/>
            <rFont val="Tahoma"/>
            <family val="2"/>
          </rPr>
          <t xml:space="preserve">Folio: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Marae</author>
    <author>MC</author>
    <author>Autor</author>
    <author>marae</author>
    <author>AGROECOLOGIA</author>
  </authors>
  <commentList>
    <comment ref="N3" authorId="0" shapeId="0" xr:uid="{C7805EC2-8902-4FFC-A0B7-70F496549E8F}">
      <text>
        <r>
          <rPr>
            <b/>
            <sz val="9"/>
            <color indexed="81"/>
            <rFont val="Tahoma"/>
            <family val="2"/>
          </rPr>
          <t>Marae:</t>
        </r>
        <r>
          <rPr>
            <sz val="9"/>
            <color indexed="81"/>
            <rFont val="Tahoma"/>
            <family val="2"/>
          </rPr>
          <t xml:space="preserve">
Actualizado principios Ago 2020</t>
        </r>
      </text>
    </comment>
    <comment ref="L5" authorId="1" shapeId="0" xr:uid="{5EF4D578-DB40-4E49-B7DD-FB615DE2C4F0}">
      <text>
        <r>
          <rPr>
            <b/>
            <sz val="9"/>
            <color indexed="81"/>
            <rFont val="Tahoma"/>
            <family val="2"/>
          </rPr>
          <t>MC:</t>
        </r>
        <r>
          <rPr>
            <sz val="9"/>
            <color indexed="81"/>
            <rFont val="Tahoma"/>
            <family val="2"/>
          </rPr>
          <t xml:space="preserve">
200 L</t>
        </r>
      </text>
    </comment>
    <comment ref="N6" authorId="1" shapeId="0" xr:uid="{6277BCFD-4046-471E-A22D-7E099C634E99}">
      <text>
        <r>
          <rPr>
            <b/>
            <sz val="9"/>
            <color indexed="81"/>
            <rFont val="Tahoma"/>
            <family val="2"/>
          </rPr>
          <t>MC:</t>
        </r>
        <r>
          <rPr>
            <sz val="9"/>
            <color indexed="81"/>
            <rFont val="Tahoma"/>
            <family val="2"/>
          </rPr>
          <t xml:space="preserve">
($ dls/Kg *tc)/densidad
1.046</t>
        </r>
      </text>
    </comment>
    <comment ref="P6" authorId="2" shapeId="0" xr:uid="{2D796EA4-1A21-4669-99E5-D662BBE2E2AF}">
      <text>
        <r>
          <rPr>
            <b/>
            <sz val="9"/>
            <color indexed="81"/>
            <rFont val="Tahoma"/>
            <family val="2"/>
          </rPr>
          <t>Autor:</t>
        </r>
        <r>
          <rPr>
            <sz val="9"/>
            <color indexed="81"/>
            <rFont val="Tahoma"/>
            <family val="2"/>
          </rPr>
          <t xml:space="preserve">
1 persona 1 dia para 1 lote de 400 L
1 persona $408.95/dia
((408.95*2)/800)*H13</t>
        </r>
      </text>
    </comment>
    <comment ref="N7" authorId="1" shapeId="0" xr:uid="{A213C9EE-A516-4875-AB0A-336758B2ECFD}">
      <text>
        <r>
          <rPr>
            <b/>
            <sz val="9"/>
            <color indexed="81"/>
            <rFont val="Tahoma"/>
            <family val="2"/>
          </rPr>
          <t>MC:</t>
        </r>
        <r>
          <rPr>
            <sz val="9"/>
            <color indexed="81"/>
            <rFont val="Tahoma"/>
            <family val="2"/>
          </rPr>
          <t xml:space="preserve">
($ dls/Kg *tc)/densidad
0.929</t>
        </r>
      </text>
    </comment>
    <comment ref="N8" authorId="1" shapeId="0" xr:uid="{46AC40F2-27DF-4A48-8937-F11C47C2F9D4}">
      <text>
        <r>
          <rPr>
            <b/>
            <sz val="9"/>
            <color indexed="81"/>
            <rFont val="Tahoma"/>
            <family val="2"/>
          </rPr>
          <t>MC:</t>
        </r>
        <r>
          <rPr>
            <sz val="9"/>
            <color indexed="81"/>
            <rFont val="Tahoma"/>
            <family val="2"/>
          </rPr>
          <t xml:space="preserve">
($ dls/Kg *tc)/densidad
0.937</t>
        </r>
      </text>
    </comment>
    <comment ref="N9" authorId="1" shapeId="0" xr:uid="{EA42847F-0725-4EF8-ABBC-640513ACD7A0}">
      <text>
        <r>
          <rPr>
            <b/>
            <sz val="9"/>
            <color indexed="81"/>
            <rFont val="Tahoma"/>
            <family val="2"/>
          </rPr>
          <t>MC:</t>
        </r>
        <r>
          <rPr>
            <sz val="9"/>
            <color indexed="81"/>
            <rFont val="Tahoma"/>
            <family val="2"/>
          </rPr>
          <t xml:space="preserve">
($ dls/Kg *tc)/densidad
0.964</t>
        </r>
      </text>
    </comment>
    <comment ref="N10" authorId="1" shapeId="0" xr:uid="{65B7BD4D-717C-4B44-8314-923AEC720E61}">
      <text>
        <r>
          <rPr>
            <b/>
            <sz val="9"/>
            <color indexed="81"/>
            <rFont val="Tahoma"/>
            <family val="2"/>
          </rPr>
          <t>MC:</t>
        </r>
        <r>
          <rPr>
            <sz val="9"/>
            <color indexed="81"/>
            <rFont val="Tahoma"/>
            <family val="2"/>
          </rPr>
          <t xml:space="preserve">
($ dls/Kg *tc)/densidad
0.874</t>
        </r>
      </text>
    </comment>
    <comment ref="N11" authorId="1" shapeId="0" xr:uid="{564DFF91-17A9-4EF9-BB19-86DAECA073E2}">
      <text>
        <r>
          <rPr>
            <b/>
            <sz val="9"/>
            <color indexed="81"/>
            <rFont val="Tahoma"/>
            <family val="2"/>
          </rPr>
          <t>MC:</t>
        </r>
        <r>
          <rPr>
            <sz val="9"/>
            <color indexed="81"/>
            <rFont val="Tahoma"/>
            <family val="2"/>
          </rPr>
          <t xml:space="preserve">
($ dls/Kg *tc)/densidad
0.849</t>
        </r>
      </text>
    </comment>
    <comment ref="N14" authorId="3" shapeId="0" xr:uid="{48C64E89-CA16-4839-9A49-5F222C3A5E0E}">
      <text>
        <r>
          <rPr>
            <b/>
            <sz val="9"/>
            <color indexed="81"/>
            <rFont val="Tahoma"/>
            <family val="2"/>
          </rPr>
          <t>marae:</t>
        </r>
        <r>
          <rPr>
            <sz val="9"/>
            <color indexed="81"/>
            <rFont val="Tahoma"/>
            <family val="2"/>
          </rPr>
          <t xml:space="preserve">
Se considera los botes de 20 L a un tercio por que se reusan
$/</t>
        </r>
      </text>
    </comment>
    <comment ref="L15" authorId="1" shapeId="0" xr:uid="{21665CB5-2782-4B4B-922C-3EDE80D21315}">
      <text>
        <r>
          <rPr>
            <b/>
            <sz val="9"/>
            <color indexed="81"/>
            <rFont val="Tahoma"/>
            <family val="2"/>
          </rPr>
          <t>MC:</t>
        </r>
        <r>
          <rPr>
            <sz val="9"/>
            <color indexed="81"/>
            <rFont val="Tahoma"/>
            <family val="2"/>
          </rPr>
          <t xml:space="preserve">
200 L</t>
        </r>
      </text>
    </comment>
    <comment ref="N16" authorId="1" shapeId="0" xr:uid="{88971055-425A-431F-A282-1A8A2C9DF410}">
      <text>
        <r>
          <rPr>
            <b/>
            <sz val="9"/>
            <color indexed="81"/>
            <rFont val="Tahoma"/>
            <family val="2"/>
          </rPr>
          <t>MC:</t>
        </r>
        <r>
          <rPr>
            <sz val="9"/>
            <color indexed="81"/>
            <rFont val="Tahoma"/>
            <family val="2"/>
          </rPr>
          <t xml:space="preserve">
($ dls/Kg *tc)/densidad
0.929</t>
        </r>
      </text>
    </comment>
    <comment ref="P16" authorId="2" shapeId="0" xr:uid="{ECE63F44-7D2F-4C57-A450-4B3D3F6B5BFF}">
      <text>
        <r>
          <rPr>
            <b/>
            <sz val="9"/>
            <color indexed="81"/>
            <rFont val="Tahoma"/>
            <family val="2"/>
          </rPr>
          <t>Autor:</t>
        </r>
        <r>
          <rPr>
            <sz val="9"/>
            <color indexed="81"/>
            <rFont val="Tahoma"/>
            <family val="2"/>
          </rPr>
          <t xml:space="preserve">
1 persona 1 dia para 1 lote de 400 L
1 persona $408.95/dia
=((408.95*2)/800)*H23</t>
        </r>
      </text>
    </comment>
    <comment ref="N17" authorId="1" shapeId="0" xr:uid="{96B51180-DA28-4AA7-B37C-63DAB95800FA}">
      <text>
        <r>
          <rPr>
            <b/>
            <sz val="9"/>
            <color indexed="81"/>
            <rFont val="Tahoma"/>
            <family val="2"/>
          </rPr>
          <t>MC:</t>
        </r>
        <r>
          <rPr>
            <sz val="9"/>
            <color indexed="81"/>
            <rFont val="Tahoma"/>
            <family val="2"/>
          </rPr>
          <t xml:space="preserve">
($ dls/Kg *tc)/densidad
0.965</t>
        </r>
      </text>
    </comment>
    <comment ref="N18" authorId="1" shapeId="0" xr:uid="{3CDC8984-F8AA-4EBA-86C7-9576AD2970F3}">
      <text>
        <r>
          <rPr>
            <b/>
            <sz val="9"/>
            <color indexed="81"/>
            <rFont val="Tahoma"/>
            <family val="2"/>
          </rPr>
          <t>MC:</t>
        </r>
        <r>
          <rPr>
            <sz val="9"/>
            <color indexed="81"/>
            <rFont val="Tahoma"/>
            <family val="2"/>
          </rPr>
          <t xml:space="preserve">
($ dls/Kg *tc)/densidad
0.849</t>
        </r>
      </text>
    </comment>
    <comment ref="N21" authorId="3" shapeId="0" xr:uid="{1C65C05E-48D2-4053-BD1F-828B90EC056F}">
      <text>
        <r>
          <rPr>
            <b/>
            <sz val="9"/>
            <color indexed="81"/>
            <rFont val="Tahoma"/>
            <family val="2"/>
          </rPr>
          <t>marae:</t>
        </r>
        <r>
          <rPr>
            <sz val="9"/>
            <color indexed="81"/>
            <rFont val="Tahoma"/>
            <family val="2"/>
          </rPr>
          <t xml:space="preserve">
Se considera los botes de 20 L a un tercio por que se reusan
$/</t>
        </r>
      </text>
    </comment>
    <comment ref="H22" authorId="1" shapeId="0" xr:uid="{8FCCD330-D2BE-4ECB-99A8-1AF513CA2174}">
      <text>
        <r>
          <rPr>
            <b/>
            <sz val="9"/>
            <color indexed="81"/>
            <rFont val="Tahoma"/>
            <family val="2"/>
          </rPr>
          <t>MC:</t>
        </r>
        <r>
          <rPr>
            <sz val="9"/>
            <color indexed="81"/>
            <rFont val="Tahoma"/>
            <family val="2"/>
          </rPr>
          <t xml:space="preserve">
La dosis del Brand
5 ml/L (2.5 L/500 L) sugerimos bajar y probar por el tema de los glicinatos:
opcion 1
4 ml/L (2 L/500 L)
opcion 2
3 ml/L (1.5 ml/500 L)</t>
        </r>
      </text>
    </comment>
    <comment ref="L22" authorId="1" shapeId="0" xr:uid="{539E78BB-A5E1-43C6-8E45-C3DA181688DC}">
      <text>
        <r>
          <rPr>
            <b/>
            <sz val="9"/>
            <color indexed="81"/>
            <rFont val="Tahoma"/>
            <family val="2"/>
          </rPr>
          <t>MC:</t>
        </r>
        <r>
          <rPr>
            <sz val="9"/>
            <color indexed="81"/>
            <rFont val="Tahoma"/>
            <family val="2"/>
          </rPr>
          <t xml:space="preserve">
200 L</t>
        </r>
      </text>
    </comment>
    <comment ref="N22" authorId="1" shapeId="0" xr:uid="{0C264B68-D7EC-4F8B-B4E7-A327779188EA}">
      <text>
        <r>
          <rPr>
            <b/>
            <sz val="9"/>
            <color indexed="81"/>
            <rFont val="Tahoma"/>
            <family val="2"/>
          </rPr>
          <t>MC:</t>
        </r>
        <r>
          <rPr>
            <sz val="9"/>
            <color indexed="81"/>
            <rFont val="Tahoma"/>
            <family val="2"/>
          </rPr>
          <t xml:space="preserve">
Preco del Brand Crop Mix
dosis 2.5 L/Ha/500 L</t>
        </r>
      </text>
    </comment>
    <comment ref="P23" authorId="2" shapeId="0" xr:uid="{53340BE8-75CA-4CFC-9192-F7705BF9AE87}">
      <text>
        <r>
          <rPr>
            <b/>
            <sz val="9"/>
            <color indexed="81"/>
            <rFont val="Tahoma"/>
            <family val="2"/>
          </rPr>
          <t>Autor:</t>
        </r>
        <r>
          <rPr>
            <sz val="9"/>
            <color indexed="81"/>
            <rFont val="Tahoma"/>
            <family val="2"/>
          </rPr>
          <t xml:space="preserve">
1 persona 1 dia para 1 lote de 400 L
1 persona $335/dia
=((408.95*2)/800)*H52</t>
        </r>
      </text>
    </comment>
    <comment ref="K24" authorId="1" shapeId="0" xr:uid="{C56F529E-94C3-40CC-8A41-A229AB094010}">
      <text>
        <r>
          <rPr>
            <b/>
            <sz val="9"/>
            <color indexed="81"/>
            <rFont val="Tahoma"/>
            <family val="2"/>
          </rPr>
          <t>MC:</t>
        </r>
        <r>
          <rPr>
            <sz val="9"/>
            <color indexed="81"/>
            <rFont val="Tahoma"/>
            <family val="2"/>
          </rPr>
          <t xml:space="preserve">
20%</t>
        </r>
      </text>
    </comment>
    <comment ref="N24" authorId="1" shapeId="0" xr:uid="{9C20F247-FE94-448E-8131-D3A5DC4AA435}">
      <text>
        <r>
          <rPr>
            <b/>
            <sz val="9"/>
            <color indexed="81"/>
            <rFont val="Tahoma"/>
            <family val="2"/>
          </rPr>
          <t>MC:</t>
        </r>
        <r>
          <rPr>
            <sz val="9"/>
            <color indexed="81"/>
            <rFont val="Tahoma"/>
            <family val="2"/>
          </rPr>
          <t xml:space="preserve">
=285+(900/200)
 por pedidos mayor 1 ton
$255.0 +  IVA flete incluido</t>
        </r>
      </text>
    </comment>
    <comment ref="K25" authorId="1" shapeId="0" xr:uid="{8653C02A-8FB4-4CC9-9331-04E6E1658367}">
      <text>
        <r>
          <rPr>
            <b/>
            <sz val="9"/>
            <color indexed="81"/>
            <rFont val="Tahoma"/>
            <family val="2"/>
          </rPr>
          <t>MC:</t>
        </r>
        <r>
          <rPr>
            <sz val="9"/>
            <color indexed="81"/>
            <rFont val="Tahoma"/>
            <family val="2"/>
          </rPr>
          <t xml:space="preserve">
22%</t>
        </r>
      </text>
    </comment>
    <comment ref="N25" authorId="1" shapeId="0" xr:uid="{FC16006A-7E96-49A9-8017-0237212B8FD5}">
      <text>
        <r>
          <rPr>
            <b/>
            <sz val="9"/>
            <color indexed="81"/>
            <rFont val="Tahoma"/>
            <family val="2"/>
          </rPr>
          <t>MC:</t>
        </r>
        <r>
          <rPr>
            <sz val="9"/>
            <color indexed="81"/>
            <rFont val="Tahoma"/>
            <family val="2"/>
          </rPr>
          <t xml:space="preserve">
=285+(900/200)
 por pedidos mayor 1 ton
$255.0 +  IVA flete incluido</t>
        </r>
      </text>
    </comment>
    <comment ref="K26" authorId="1" shapeId="0" xr:uid="{D840E83A-AB09-4709-B5E1-560A083963BF}">
      <text>
        <r>
          <rPr>
            <b/>
            <sz val="9"/>
            <color indexed="81"/>
            <rFont val="Tahoma"/>
            <family val="2"/>
          </rPr>
          <t>MC:</t>
        </r>
        <r>
          <rPr>
            <sz val="9"/>
            <color indexed="81"/>
            <rFont val="Tahoma"/>
            <family val="2"/>
          </rPr>
          <t xml:space="preserve">
26%</t>
        </r>
      </text>
    </comment>
    <comment ref="N26" authorId="1" shapeId="0" xr:uid="{5DCC6399-8B34-463E-9C3B-9AD91229372F}">
      <text>
        <r>
          <rPr>
            <b/>
            <sz val="9"/>
            <color indexed="81"/>
            <rFont val="Tahoma"/>
            <family val="2"/>
          </rPr>
          <t>MC:</t>
        </r>
        <r>
          <rPr>
            <sz val="9"/>
            <color indexed="81"/>
            <rFont val="Tahoma"/>
            <family val="2"/>
          </rPr>
          <t xml:space="preserve">
=285+(900/200)
 por pedidos mayor 1 ton
$255.0 +  IVA flete incluido</t>
        </r>
      </text>
    </comment>
    <comment ref="K27" authorId="1" shapeId="0" xr:uid="{D29EE0FC-F6D1-492E-8445-DD254A4F5672}">
      <text>
        <r>
          <rPr>
            <b/>
            <sz val="9"/>
            <color indexed="81"/>
            <rFont val="Tahoma"/>
            <family val="2"/>
          </rPr>
          <t>MC:</t>
        </r>
        <r>
          <rPr>
            <sz val="9"/>
            <color indexed="81"/>
            <rFont val="Tahoma"/>
            <family val="2"/>
          </rPr>
          <t xml:space="preserve">
99.5%</t>
        </r>
      </text>
    </comment>
    <comment ref="N27" authorId="1" shapeId="0" xr:uid="{00C82535-62A9-43FE-9873-8D962BC94935}">
      <text>
        <r>
          <rPr>
            <b/>
            <sz val="9"/>
            <color indexed="81"/>
            <rFont val="Tahoma"/>
            <family val="2"/>
          </rPr>
          <t>MC:</t>
        </r>
        <r>
          <rPr>
            <sz val="9"/>
            <color indexed="81"/>
            <rFont val="Tahoma"/>
            <family val="2"/>
          </rPr>
          <t xml:space="preserve">
9.55 dls/kg + iva
$11.0916 dls/Kg mas envio
</t>
        </r>
      </text>
    </comment>
    <comment ref="N29" authorId="3" shapeId="0" xr:uid="{C82248DE-FFB6-4368-A950-6ED8B71210C0}">
      <text>
        <r>
          <rPr>
            <b/>
            <sz val="9"/>
            <color indexed="81"/>
            <rFont val="Tahoma"/>
            <family val="2"/>
          </rPr>
          <t>marae:</t>
        </r>
        <r>
          <rPr>
            <sz val="9"/>
            <color indexed="81"/>
            <rFont val="Tahoma"/>
            <family val="2"/>
          </rPr>
          <t xml:space="preserve">
Se considera los botes de 20 L a un tercio por que se reusan
$/</t>
        </r>
      </text>
    </comment>
    <comment ref="B30" authorId="0" shapeId="0" xr:uid="{52B6484D-0CF0-4895-A313-0F024788628B}">
      <text>
        <r>
          <rPr>
            <b/>
            <sz val="9"/>
            <color indexed="81"/>
            <rFont val="Tahoma"/>
            <family val="2"/>
          </rPr>
          <t>Marae:</t>
        </r>
        <r>
          <rPr>
            <sz val="9"/>
            <color indexed="81"/>
            <rFont val="Tahoma"/>
            <family val="2"/>
          </rPr>
          <t xml:space="preserve">
Acharoot No. 6</t>
        </r>
      </text>
    </comment>
    <comment ref="L30" authorId="1" shapeId="0" xr:uid="{F6604941-8856-429B-9D5E-C3D2B2C1D6B3}">
      <text>
        <r>
          <rPr>
            <b/>
            <sz val="9"/>
            <color indexed="81"/>
            <rFont val="Tahoma"/>
            <family val="2"/>
          </rPr>
          <t>MC:</t>
        </r>
        <r>
          <rPr>
            <sz val="9"/>
            <color indexed="81"/>
            <rFont val="Tahoma"/>
            <family val="2"/>
          </rPr>
          <t xml:space="preserve">
1000 L</t>
        </r>
      </text>
    </comment>
    <comment ref="P31" authorId="2" shapeId="0" xr:uid="{AFC923BF-4F82-461B-9917-C27B53EFC87B}">
      <text>
        <r>
          <rPr>
            <b/>
            <sz val="9"/>
            <color indexed="81"/>
            <rFont val="Tahoma"/>
            <family val="2"/>
          </rPr>
          <t>Autor:</t>
        </r>
        <r>
          <rPr>
            <sz val="9"/>
            <color indexed="81"/>
            <rFont val="Tahoma"/>
            <family val="2"/>
          </rPr>
          <t xml:space="preserve">
1 persona 1 dia para 1 lote de 400 L
1 persona $335/dia
=((408.95*2)/800)*H38</t>
        </r>
      </text>
    </comment>
    <comment ref="K33" authorId="2" shapeId="0" xr:uid="{0A9F4E55-349F-448F-941C-A62F1295BC6F}">
      <text>
        <r>
          <rPr>
            <b/>
            <sz val="9"/>
            <color indexed="81"/>
            <rFont val="Tahoma"/>
            <family val="2"/>
          </rPr>
          <t>Autor:</t>
        </r>
        <r>
          <rPr>
            <sz val="9"/>
            <color indexed="81"/>
            <rFont val="Tahoma"/>
            <family val="2"/>
          </rPr>
          <t xml:space="preserve">
[12:61:00]
</t>
        </r>
      </text>
    </comment>
    <comment ref="N36" authorId="1" shapeId="0" xr:uid="{4FE0847A-D33E-430C-B944-0A0187C1A66B}">
      <text>
        <r>
          <rPr>
            <b/>
            <sz val="9"/>
            <color indexed="81"/>
            <rFont val="Tahoma"/>
            <family val="2"/>
          </rPr>
          <t>MC:</t>
        </r>
        <r>
          <rPr>
            <sz val="9"/>
            <color indexed="81"/>
            <rFont val="Tahoma"/>
            <family val="2"/>
          </rPr>
          <t xml:space="preserve">
En la formulacion de MRF se emplea el NaOH al 70% esto es 71.4 kg/100 L por lo tanto la densidad es de 1kg = 1.4 L o
1 L = 0.714 kg</t>
        </r>
      </text>
    </comment>
    <comment ref="N38" authorId="3" shapeId="0" xr:uid="{F3E87E18-0C73-46E3-BC7E-5F710B6A9E0A}">
      <text>
        <r>
          <rPr>
            <b/>
            <sz val="9"/>
            <color indexed="81"/>
            <rFont val="Tahoma"/>
            <family val="2"/>
          </rPr>
          <t>marae:</t>
        </r>
        <r>
          <rPr>
            <sz val="9"/>
            <color indexed="81"/>
            <rFont val="Tahoma"/>
            <family val="2"/>
          </rPr>
          <t xml:space="preserve">
Se considera los botes de 20 L a un tercio por que se reusan
$/</t>
        </r>
      </text>
    </comment>
    <comment ref="L39" authorId="1" shapeId="0" xr:uid="{9738C6EA-DA27-4334-8901-370BDC1C7C3A}">
      <text>
        <r>
          <rPr>
            <b/>
            <sz val="9"/>
            <color indexed="81"/>
            <rFont val="Tahoma"/>
            <family val="2"/>
          </rPr>
          <t>MC:</t>
        </r>
        <r>
          <rPr>
            <sz val="9"/>
            <color indexed="81"/>
            <rFont val="Tahoma"/>
            <family val="2"/>
          </rPr>
          <t xml:space="preserve">
100 L</t>
        </r>
      </text>
    </comment>
    <comment ref="P40" authorId="2" shapeId="0" xr:uid="{C5C663A5-F72B-4D1F-B4C1-F08A8158750A}">
      <text>
        <r>
          <rPr>
            <b/>
            <sz val="9"/>
            <color indexed="81"/>
            <rFont val="Tahoma"/>
            <family val="2"/>
          </rPr>
          <t>Autor:</t>
        </r>
        <r>
          <rPr>
            <sz val="9"/>
            <color indexed="81"/>
            <rFont val="Tahoma"/>
            <family val="2"/>
          </rPr>
          <t xml:space="preserve">
1 persona 1 dia para 1 lote de 400 L
1 persona $408.95/dia
=((408.95*2)/800)*H6</t>
        </r>
      </text>
    </comment>
    <comment ref="P44" authorId="0" shapeId="0" xr:uid="{77C1F068-351E-47D2-8361-D531C285C8C8}">
      <text>
        <r>
          <rPr>
            <b/>
            <sz val="9"/>
            <color indexed="81"/>
            <rFont val="Tahoma"/>
            <family val="2"/>
          </rPr>
          <t>Marae:</t>
        </r>
        <r>
          <rPr>
            <sz val="9"/>
            <color indexed="81"/>
            <rFont val="Tahoma"/>
            <family val="2"/>
          </rPr>
          <t xml:space="preserve">
$12.0/L </t>
        </r>
      </text>
    </comment>
    <comment ref="N45" authorId="3" shapeId="0" xr:uid="{E0C80039-9F2C-48EA-8B77-4F8840CFE6E6}">
      <text>
        <r>
          <rPr>
            <b/>
            <sz val="9"/>
            <color indexed="81"/>
            <rFont val="Tahoma"/>
            <family val="2"/>
          </rPr>
          <t>marae:</t>
        </r>
        <r>
          <rPr>
            <sz val="9"/>
            <color indexed="81"/>
            <rFont val="Tahoma"/>
            <family val="2"/>
          </rPr>
          <t xml:space="preserve">
Se considera los botes de 20 L a un tercio por que se reusan
$/</t>
        </r>
      </text>
    </comment>
    <comment ref="B46" authorId="0" shapeId="0" xr:uid="{6F590E15-CFD2-43F9-95CF-69A590230492}">
      <text>
        <r>
          <rPr>
            <b/>
            <sz val="9"/>
            <color indexed="81"/>
            <rFont val="Tahoma"/>
            <family val="2"/>
          </rPr>
          <t>Marae:</t>
        </r>
        <r>
          <rPr>
            <sz val="9"/>
            <color indexed="81"/>
            <rFont val="Tahoma"/>
            <family val="2"/>
          </rPr>
          <t xml:space="preserve">
Acharoot No. 6</t>
        </r>
      </text>
    </comment>
    <comment ref="L46" authorId="1" shapeId="0" xr:uid="{F9711BCB-8048-48FC-BDA9-CBAA32EAB43F}">
      <text>
        <r>
          <rPr>
            <b/>
            <sz val="9"/>
            <color indexed="81"/>
            <rFont val="Tahoma"/>
            <family val="2"/>
          </rPr>
          <t>MC:</t>
        </r>
        <r>
          <rPr>
            <sz val="9"/>
            <color indexed="81"/>
            <rFont val="Tahoma"/>
            <family val="2"/>
          </rPr>
          <t xml:space="preserve">
1000 L</t>
        </r>
      </text>
    </comment>
    <comment ref="P47" authorId="2" shapeId="0" xr:uid="{3E0DAD71-FEFF-4ACD-8E65-3670D4809D9C}">
      <text>
        <r>
          <rPr>
            <b/>
            <sz val="9"/>
            <color indexed="81"/>
            <rFont val="Tahoma"/>
            <family val="2"/>
          </rPr>
          <t>Autor:</t>
        </r>
        <r>
          <rPr>
            <sz val="9"/>
            <color indexed="81"/>
            <rFont val="Tahoma"/>
            <family val="2"/>
          </rPr>
          <t xml:space="preserve">
1 persona 1 dia para 1 lote de 400 L
1 persona $335/dia
=((408.95*2)/800)*H38</t>
        </r>
      </text>
    </comment>
    <comment ref="K48" authorId="2" shapeId="0" xr:uid="{ABE5D133-DDC8-4035-B9E6-3F5FC98A1103}">
      <text>
        <r>
          <rPr>
            <b/>
            <sz val="9"/>
            <color indexed="81"/>
            <rFont val="Tahoma"/>
            <family val="2"/>
          </rPr>
          <t>Autor:</t>
        </r>
        <r>
          <rPr>
            <sz val="9"/>
            <color indexed="81"/>
            <rFont val="Tahoma"/>
            <family val="2"/>
          </rPr>
          <t xml:space="preserve">
[18:46:00]
</t>
        </r>
      </text>
    </comment>
    <comment ref="N50" authorId="3" shapeId="0" xr:uid="{3BFD4F26-3588-4E17-9E7E-E408446082D7}">
      <text>
        <r>
          <rPr>
            <b/>
            <sz val="9"/>
            <color indexed="81"/>
            <rFont val="Tahoma"/>
            <family val="2"/>
          </rPr>
          <t>marae:</t>
        </r>
        <r>
          <rPr>
            <sz val="9"/>
            <color indexed="81"/>
            <rFont val="Tahoma"/>
            <family val="2"/>
          </rPr>
          <t xml:space="preserve">
Se considera los botes de 20 L a un tercio por que se reusan
$/</t>
        </r>
      </text>
    </comment>
    <comment ref="L51" authorId="1" shapeId="0" xr:uid="{AD033E3E-74B0-49EA-96BF-48847AB8724F}">
      <text>
        <r>
          <rPr>
            <b/>
            <sz val="9"/>
            <color indexed="81"/>
            <rFont val="Tahoma"/>
            <family val="2"/>
          </rPr>
          <t>MC:</t>
        </r>
        <r>
          <rPr>
            <sz val="9"/>
            <color indexed="81"/>
            <rFont val="Tahoma"/>
            <family val="2"/>
          </rPr>
          <t xml:space="preserve">
200 L</t>
        </r>
      </text>
    </comment>
    <comment ref="N52" authorId="1" shapeId="0" xr:uid="{70CAB610-96A1-4F20-8934-1A864062B80B}">
      <text>
        <r>
          <rPr>
            <b/>
            <sz val="9"/>
            <color indexed="81"/>
            <rFont val="Tahoma"/>
            <family val="2"/>
          </rPr>
          <t>MC:</t>
        </r>
        <r>
          <rPr>
            <sz val="9"/>
            <color indexed="81"/>
            <rFont val="Tahoma"/>
            <family val="2"/>
          </rPr>
          <t xml:space="preserve">
($ dls/Kg *tc)/densidad
1.046</t>
        </r>
      </text>
    </comment>
    <comment ref="P52" authorId="2" shapeId="0" xr:uid="{1FC8F8EE-EE83-4E08-94B9-D17889CBCADA}">
      <text>
        <r>
          <rPr>
            <b/>
            <sz val="9"/>
            <color indexed="81"/>
            <rFont val="Tahoma"/>
            <family val="2"/>
          </rPr>
          <t>Autor:</t>
        </r>
        <r>
          <rPr>
            <sz val="9"/>
            <color indexed="81"/>
            <rFont val="Tahoma"/>
            <family val="2"/>
          </rPr>
          <t xml:space="preserve">
1 persona 1 dia para 1 lote de 400 L
1 persona $408.95/dia
((408.95*2)/800)*H13</t>
        </r>
      </text>
    </comment>
    <comment ref="N53" authorId="1" shapeId="0" xr:uid="{95D9EE75-6151-46E8-9107-60ECF60702E7}">
      <text>
        <r>
          <rPr>
            <b/>
            <sz val="9"/>
            <color indexed="81"/>
            <rFont val="Tahoma"/>
            <family val="2"/>
          </rPr>
          <t>MC:</t>
        </r>
        <r>
          <rPr>
            <sz val="9"/>
            <color indexed="81"/>
            <rFont val="Tahoma"/>
            <family val="2"/>
          </rPr>
          <t xml:space="preserve">
($ dls/Kg *tc)/densidad
0.929</t>
        </r>
      </text>
    </comment>
    <comment ref="N54" authorId="1" shapeId="0" xr:uid="{F5DA7D58-8564-4B50-8539-25F50A3749A4}">
      <text>
        <r>
          <rPr>
            <b/>
            <sz val="9"/>
            <color indexed="81"/>
            <rFont val="Tahoma"/>
            <family val="2"/>
          </rPr>
          <t>MC:</t>
        </r>
        <r>
          <rPr>
            <sz val="9"/>
            <color indexed="81"/>
            <rFont val="Tahoma"/>
            <family val="2"/>
          </rPr>
          <t xml:space="preserve">
($ dls/Kg *tc)/densidad
0.937</t>
        </r>
      </text>
    </comment>
    <comment ref="N55" authorId="1" shapeId="0" xr:uid="{42AE6503-6E7D-45AA-B330-376B9A41E7E6}">
      <text>
        <r>
          <rPr>
            <b/>
            <sz val="9"/>
            <color indexed="81"/>
            <rFont val="Tahoma"/>
            <family val="2"/>
          </rPr>
          <t>MC:</t>
        </r>
        <r>
          <rPr>
            <sz val="9"/>
            <color indexed="81"/>
            <rFont val="Tahoma"/>
            <family val="2"/>
          </rPr>
          <t xml:space="preserve">
($ dls/Kg *tc)/densidad
0.964</t>
        </r>
      </text>
    </comment>
    <comment ref="N56" authorId="1" shapeId="0" xr:uid="{946FCAE8-191B-4A49-96BC-304A530C18AD}">
      <text>
        <r>
          <rPr>
            <b/>
            <sz val="9"/>
            <color indexed="81"/>
            <rFont val="Tahoma"/>
            <family val="2"/>
          </rPr>
          <t>MC:</t>
        </r>
        <r>
          <rPr>
            <sz val="9"/>
            <color indexed="81"/>
            <rFont val="Tahoma"/>
            <family val="2"/>
          </rPr>
          <t xml:space="preserve">
($ dls/Kg *tc)/densidad
0.874</t>
        </r>
      </text>
    </comment>
    <comment ref="N57" authorId="1" shapeId="0" xr:uid="{F09E9FE8-59FE-48C5-A760-349B185FCBF9}">
      <text>
        <r>
          <rPr>
            <b/>
            <sz val="9"/>
            <color indexed="81"/>
            <rFont val="Tahoma"/>
            <family val="2"/>
          </rPr>
          <t>MC:</t>
        </r>
        <r>
          <rPr>
            <sz val="9"/>
            <color indexed="81"/>
            <rFont val="Tahoma"/>
            <family val="2"/>
          </rPr>
          <t xml:space="preserve">
($ dls/Kg *tc)/densidad
0.849</t>
        </r>
      </text>
    </comment>
    <comment ref="N60" authorId="3" shapeId="0" xr:uid="{5AAB3B4E-BE35-4AB8-A1C0-72911599FEDC}">
      <text>
        <r>
          <rPr>
            <b/>
            <sz val="9"/>
            <color indexed="81"/>
            <rFont val="Tahoma"/>
            <family val="2"/>
          </rPr>
          <t>marae:</t>
        </r>
        <r>
          <rPr>
            <sz val="9"/>
            <color indexed="81"/>
            <rFont val="Tahoma"/>
            <family val="2"/>
          </rPr>
          <t xml:space="preserve">
Se considera los botes de 20 L a un tercio por que se reusan
$/</t>
        </r>
      </text>
    </comment>
    <comment ref="L61" authorId="1" shapeId="0" xr:uid="{B7685058-9B68-4436-AF21-019B1E27494B}">
      <text>
        <r>
          <rPr>
            <b/>
            <sz val="9"/>
            <color indexed="81"/>
            <rFont val="Tahoma"/>
            <family val="2"/>
          </rPr>
          <t>MC:</t>
        </r>
        <r>
          <rPr>
            <sz val="9"/>
            <color indexed="81"/>
            <rFont val="Tahoma"/>
            <family val="2"/>
          </rPr>
          <t xml:space="preserve">
200 L</t>
        </r>
      </text>
    </comment>
    <comment ref="N62" authorId="1" shapeId="0" xr:uid="{8EA836F7-A162-465D-95D9-60698B6FBCF2}">
      <text>
        <r>
          <rPr>
            <b/>
            <sz val="9"/>
            <color indexed="81"/>
            <rFont val="Tahoma"/>
            <family val="2"/>
          </rPr>
          <t>MC:</t>
        </r>
        <r>
          <rPr>
            <sz val="9"/>
            <color indexed="81"/>
            <rFont val="Tahoma"/>
            <family val="2"/>
          </rPr>
          <t xml:space="preserve">
($ dls/Kg *tc)/densidad
0.929</t>
        </r>
      </text>
    </comment>
    <comment ref="P62" authorId="2" shapeId="0" xr:uid="{D161C1D2-7A73-4971-A5B7-BCE2B632C983}">
      <text>
        <r>
          <rPr>
            <b/>
            <sz val="9"/>
            <color indexed="81"/>
            <rFont val="Tahoma"/>
            <family val="2"/>
          </rPr>
          <t>Autor:</t>
        </r>
        <r>
          <rPr>
            <sz val="9"/>
            <color indexed="81"/>
            <rFont val="Tahoma"/>
            <family val="2"/>
          </rPr>
          <t xml:space="preserve">
1 persona 1 dia para 1 lote de 400 L
1 persona $408.95/dia
=((408.95*2)/800)*H23</t>
        </r>
      </text>
    </comment>
    <comment ref="N63" authorId="1" shapeId="0" xr:uid="{0B406681-69DD-4F37-8DE5-9F205EABB203}">
      <text>
        <r>
          <rPr>
            <b/>
            <sz val="9"/>
            <color indexed="81"/>
            <rFont val="Tahoma"/>
            <family val="2"/>
          </rPr>
          <t>MC:</t>
        </r>
        <r>
          <rPr>
            <sz val="9"/>
            <color indexed="81"/>
            <rFont val="Tahoma"/>
            <family val="2"/>
          </rPr>
          <t xml:space="preserve">
($ dls/Kg *tc)/densidad
0.965</t>
        </r>
      </text>
    </comment>
    <comment ref="N64" authorId="1" shapeId="0" xr:uid="{62B1DF30-2536-4B5C-9B8F-9C416BE8B23C}">
      <text>
        <r>
          <rPr>
            <b/>
            <sz val="9"/>
            <color indexed="81"/>
            <rFont val="Tahoma"/>
            <family val="2"/>
          </rPr>
          <t>MC:</t>
        </r>
        <r>
          <rPr>
            <sz val="9"/>
            <color indexed="81"/>
            <rFont val="Tahoma"/>
            <family val="2"/>
          </rPr>
          <t xml:space="preserve">
($ dls/Kg *tc)/densidad
0.849</t>
        </r>
      </text>
    </comment>
    <comment ref="N67" authorId="3" shapeId="0" xr:uid="{476E3665-F8AD-41C3-8732-20CC7107F931}">
      <text>
        <r>
          <rPr>
            <b/>
            <sz val="9"/>
            <color indexed="81"/>
            <rFont val="Tahoma"/>
            <family val="2"/>
          </rPr>
          <t>marae:</t>
        </r>
        <r>
          <rPr>
            <sz val="9"/>
            <color indexed="81"/>
            <rFont val="Tahoma"/>
            <family val="2"/>
          </rPr>
          <t xml:space="preserve">
Se considera los botes de 20 L a un tercio por que se reusan
$/</t>
        </r>
      </text>
    </comment>
    <comment ref="H68" authorId="1" shapeId="0" xr:uid="{91201FD7-780F-4455-BAD9-BDE3949475EF}">
      <text>
        <r>
          <rPr>
            <b/>
            <sz val="9"/>
            <color indexed="81"/>
            <rFont val="Tahoma"/>
            <family val="2"/>
          </rPr>
          <t>MC:</t>
        </r>
        <r>
          <rPr>
            <sz val="9"/>
            <color indexed="81"/>
            <rFont val="Tahoma"/>
            <family val="2"/>
          </rPr>
          <t xml:space="preserve">
La dosis del Brand
5 ml/L (2.5 L/500 L) sugerimos bajar y probar por el tema de los glicinatos:
opcion 1
4 ml/L (2 L/500 L)
opcion 2
3 ml/L (1.5 ml/500 L)</t>
        </r>
      </text>
    </comment>
    <comment ref="L68" authorId="1" shapeId="0" xr:uid="{8F209AE4-3787-4C1A-83CE-9A74D0505A6F}">
      <text>
        <r>
          <rPr>
            <b/>
            <sz val="9"/>
            <color indexed="81"/>
            <rFont val="Tahoma"/>
            <family val="2"/>
          </rPr>
          <t>MC:</t>
        </r>
        <r>
          <rPr>
            <sz val="9"/>
            <color indexed="81"/>
            <rFont val="Tahoma"/>
            <family val="2"/>
          </rPr>
          <t xml:space="preserve">
200 L</t>
        </r>
      </text>
    </comment>
    <comment ref="N68" authorId="1" shapeId="0" xr:uid="{D02C8E27-8F64-4BF0-BBF1-0E083A4596AF}">
      <text>
        <r>
          <rPr>
            <b/>
            <sz val="9"/>
            <color indexed="81"/>
            <rFont val="Tahoma"/>
            <family val="2"/>
          </rPr>
          <t>MC:</t>
        </r>
        <r>
          <rPr>
            <sz val="9"/>
            <color indexed="81"/>
            <rFont val="Tahoma"/>
            <family val="2"/>
          </rPr>
          <t xml:space="preserve">
Preco del Brand Crop Mix
dosis 2.5 L/Ha/500 L</t>
        </r>
      </text>
    </comment>
    <comment ref="P69" authorId="2" shapeId="0" xr:uid="{24E252CE-19F4-4893-A33A-C3E4133E5EE5}">
      <text>
        <r>
          <rPr>
            <b/>
            <sz val="9"/>
            <color indexed="81"/>
            <rFont val="Tahoma"/>
            <family val="2"/>
          </rPr>
          <t>Autor:</t>
        </r>
        <r>
          <rPr>
            <sz val="9"/>
            <color indexed="81"/>
            <rFont val="Tahoma"/>
            <family val="2"/>
          </rPr>
          <t xml:space="preserve">
1 persona 1 dia para 1 lote de 400 L
1 persona $335/dia
=((408.95*2)/800)*H52</t>
        </r>
      </text>
    </comment>
    <comment ref="K70" authorId="1" shapeId="0" xr:uid="{7A1B2BD2-DE14-4B60-BF2A-6414284D3268}">
      <text>
        <r>
          <rPr>
            <b/>
            <sz val="9"/>
            <color indexed="81"/>
            <rFont val="Tahoma"/>
            <family val="2"/>
          </rPr>
          <t>MC:</t>
        </r>
        <r>
          <rPr>
            <sz val="9"/>
            <color indexed="81"/>
            <rFont val="Tahoma"/>
            <family val="2"/>
          </rPr>
          <t xml:space="preserve">
20%  Fe Milagro Keylamax
Agroguzman
$1,448.24/kg</t>
        </r>
      </text>
    </comment>
    <comment ref="N70" authorId="1" shapeId="0" xr:uid="{80AC9AC5-7D6E-48B8-9F2B-2D7DE7D54B66}">
      <text>
        <r>
          <rPr>
            <b/>
            <sz val="9"/>
            <color indexed="81"/>
            <rFont val="Tahoma"/>
            <family val="2"/>
          </rPr>
          <t>MC:</t>
        </r>
        <r>
          <rPr>
            <sz val="9"/>
            <color indexed="81"/>
            <rFont val="Tahoma"/>
            <family val="2"/>
          </rPr>
          <t xml:space="preserve">
=285+(900/200)
 por pedidos mayor 1 ton
$255.0 +  IVA flete incluido</t>
        </r>
      </text>
    </comment>
    <comment ref="K71" authorId="1" shapeId="0" xr:uid="{4854150F-9B9A-48F6-92F2-BA07B5DDE632}">
      <text>
        <r>
          <rPr>
            <b/>
            <sz val="9"/>
            <color indexed="81"/>
            <rFont val="Tahoma"/>
            <family val="2"/>
          </rPr>
          <t>MC:</t>
        </r>
        <r>
          <rPr>
            <sz val="9"/>
            <color indexed="81"/>
            <rFont val="Tahoma"/>
            <family val="2"/>
          </rPr>
          <t xml:space="preserve">
16.4
albion metalosate Manganeso organico
Agroguzman
$1,454.79</t>
        </r>
      </text>
    </comment>
    <comment ref="N71" authorId="1" shapeId="0" xr:uid="{B44870DB-4963-41EE-BAB2-DDCDAA739DB9}">
      <text>
        <r>
          <rPr>
            <b/>
            <sz val="9"/>
            <color indexed="81"/>
            <rFont val="Tahoma"/>
            <family val="2"/>
          </rPr>
          <t>MC:</t>
        </r>
        <r>
          <rPr>
            <sz val="9"/>
            <color indexed="81"/>
            <rFont val="Tahoma"/>
            <family val="2"/>
          </rPr>
          <t xml:space="preserve">
=285+(900/200)
 por pedidos mayor 1 ton
$255.0 +  IVA flete incluido</t>
        </r>
      </text>
    </comment>
    <comment ref="K72" authorId="1" shapeId="0" xr:uid="{FD8745FB-E29C-47A9-AF13-12E350DFB0E2}">
      <text>
        <r>
          <rPr>
            <b/>
            <sz val="9"/>
            <color indexed="81"/>
            <rFont val="Tahoma"/>
            <family val="2"/>
          </rPr>
          <t>MC:</t>
        </r>
        <r>
          <rPr>
            <sz val="9"/>
            <color indexed="81"/>
            <rFont val="Tahoma"/>
            <family val="2"/>
          </rPr>
          <t xml:space="preserve">
20% keylimax Milagro
Agroguzman
$1,448.24/kg</t>
        </r>
      </text>
    </comment>
    <comment ref="N72" authorId="1" shapeId="0" xr:uid="{26FFC928-CFD3-4E71-B78B-7914F99236EA}">
      <text>
        <r>
          <rPr>
            <b/>
            <sz val="9"/>
            <color indexed="81"/>
            <rFont val="Tahoma"/>
            <family val="2"/>
          </rPr>
          <t>MC:</t>
        </r>
        <r>
          <rPr>
            <sz val="9"/>
            <color indexed="81"/>
            <rFont val="Tahoma"/>
            <family val="2"/>
          </rPr>
          <t xml:space="preserve">
=285+(900/200)
 por pedidos mayor 1 ton
$255.0 +  IVA flete incluido</t>
        </r>
      </text>
    </comment>
    <comment ref="E74" authorId="1" shapeId="0" xr:uid="{4F0FC5CB-CD54-489D-B5F4-0247024A4A1E}">
      <text>
        <r>
          <rPr>
            <b/>
            <sz val="9"/>
            <color indexed="81"/>
            <rFont val="Tahoma"/>
            <family val="2"/>
          </rPr>
          <t>MC:</t>
        </r>
        <r>
          <rPr>
            <sz val="9"/>
            <color indexed="81"/>
            <rFont val="Tahoma"/>
            <family val="2"/>
          </rPr>
          <t xml:space="preserve">
Refiere al Azufre que contiene el sulfato de Mg</t>
        </r>
      </text>
    </comment>
    <comment ref="N74" authorId="3" shapeId="0" xr:uid="{F297C38A-28B6-4E8D-A5FA-3C7DC725BCAC}">
      <text>
        <r>
          <rPr>
            <b/>
            <sz val="9"/>
            <color indexed="81"/>
            <rFont val="Tahoma"/>
            <family val="2"/>
          </rPr>
          <t>marae:</t>
        </r>
        <r>
          <rPr>
            <sz val="9"/>
            <color indexed="81"/>
            <rFont val="Tahoma"/>
            <family val="2"/>
          </rPr>
          <t xml:space="preserve">
Se considera los botes de 20 L a un tercio por que se reusan
$/</t>
        </r>
      </text>
    </comment>
    <comment ref="B75" authorId="0" shapeId="0" xr:uid="{343BDC42-4C72-46D8-9A69-D413137793AC}">
      <text>
        <r>
          <rPr>
            <b/>
            <sz val="9"/>
            <color indexed="81"/>
            <rFont val="Tahoma"/>
            <family val="2"/>
          </rPr>
          <t>Marae:</t>
        </r>
        <r>
          <rPr>
            <sz val="9"/>
            <color indexed="81"/>
            <rFont val="Tahoma"/>
            <family val="2"/>
          </rPr>
          <t xml:space="preserve">
Acharoot No. 6</t>
        </r>
      </text>
    </comment>
    <comment ref="L75" authorId="1" shapeId="0" xr:uid="{28A4D124-E2A4-478C-95DC-326E2B1DAEF2}">
      <text>
        <r>
          <rPr>
            <b/>
            <sz val="9"/>
            <color indexed="81"/>
            <rFont val="Tahoma"/>
            <family val="2"/>
          </rPr>
          <t>MC:</t>
        </r>
        <r>
          <rPr>
            <sz val="9"/>
            <color indexed="81"/>
            <rFont val="Tahoma"/>
            <family val="2"/>
          </rPr>
          <t xml:space="preserve">
1000 L</t>
        </r>
      </text>
    </comment>
    <comment ref="S75" authorId="1" shapeId="0" xr:uid="{A06F5AE8-6525-45B1-B42C-FBA4CE4AF9D1}">
      <text>
        <r>
          <rPr>
            <b/>
            <sz val="9"/>
            <color indexed="81"/>
            <rFont val="Tahoma"/>
            <family val="2"/>
          </rPr>
          <t>MC:</t>
        </r>
        <r>
          <rPr>
            <sz val="9"/>
            <color indexed="81"/>
            <rFont val="Tahoma"/>
            <family val="2"/>
          </rPr>
          <t xml:space="preserve">
1000 L</t>
        </r>
      </text>
    </comment>
    <comment ref="P76" authorId="2" shapeId="0" xr:uid="{2128121A-A0C3-4611-BDC5-F005D30E8B6F}">
      <text>
        <r>
          <rPr>
            <b/>
            <sz val="9"/>
            <color indexed="81"/>
            <rFont val="Tahoma"/>
            <family val="2"/>
          </rPr>
          <t>Autor:</t>
        </r>
        <r>
          <rPr>
            <sz val="9"/>
            <color indexed="81"/>
            <rFont val="Tahoma"/>
            <family val="2"/>
          </rPr>
          <t xml:space="preserve">
1 persona 1 dia para 1 lote de 400 L
1 persona $335/dia
=((408.95*2)/800)*H38</t>
        </r>
      </text>
    </comment>
    <comment ref="K78" authorId="2" shapeId="0" xr:uid="{544B3993-A5DC-496E-9CC3-18AE38BC7224}">
      <text>
        <r>
          <rPr>
            <b/>
            <sz val="9"/>
            <color indexed="81"/>
            <rFont val="Tahoma"/>
            <family val="2"/>
          </rPr>
          <t>Autor:</t>
        </r>
        <r>
          <rPr>
            <sz val="9"/>
            <color indexed="81"/>
            <rFont val="Tahoma"/>
            <family val="2"/>
          </rPr>
          <t xml:space="preserve">
[3.98:29.07:0.29]
</t>
        </r>
      </text>
    </comment>
    <comment ref="N78" authorId="4" shapeId="0" xr:uid="{597AADBE-2776-4724-810F-9477552C6AB8}">
      <text>
        <r>
          <rPr>
            <b/>
            <sz val="9"/>
            <color indexed="81"/>
            <rFont val="Tahoma"/>
            <family val="2"/>
          </rPr>
          <t>AGROECOLOGIA:</t>
        </r>
        <r>
          <rPr>
            <sz val="9"/>
            <color indexed="81"/>
            <rFont val="Tahoma"/>
            <family val="2"/>
          </rPr>
          <t xml:space="preserve">
BULTO DE 25 Kg
$145.00 mas envio
$5.8/kg mas $5 envio</t>
        </r>
      </text>
    </comment>
    <comment ref="C80" authorId="1" shapeId="0" xr:uid="{73B6EB2B-512E-4F74-8A57-4802A3A6CE07}">
      <text>
        <r>
          <rPr>
            <b/>
            <sz val="9"/>
            <color indexed="81"/>
            <rFont val="Tahoma"/>
            <family val="2"/>
          </rPr>
          <t>MC:</t>
        </r>
        <r>
          <rPr>
            <sz val="9"/>
            <color indexed="81"/>
            <rFont val="Tahoma"/>
            <family val="2"/>
          </rPr>
          <t xml:space="preserve">
5.6</t>
        </r>
      </text>
    </comment>
    <comment ref="N81" authorId="1" shapeId="0" xr:uid="{5C88135C-266A-41DC-B449-7951A651434D}">
      <text>
        <r>
          <rPr>
            <b/>
            <sz val="9"/>
            <color indexed="81"/>
            <rFont val="Tahoma"/>
            <family val="2"/>
          </rPr>
          <t>MC:</t>
        </r>
        <r>
          <rPr>
            <sz val="9"/>
            <color indexed="81"/>
            <rFont val="Tahoma"/>
            <family val="2"/>
          </rPr>
          <t xml:space="preserve">
En la formulacion de MRF se emplea el NaOH al 70% esto es 71.4 kg/100 L por lo tanto la densidad es de 1kg = 1.4 L o
1 L = 0.714 kg</t>
        </r>
      </text>
    </comment>
    <comment ref="N83" authorId="3" shapeId="0" xr:uid="{F09BD391-E884-46DF-947D-D47DD6A4BABC}">
      <text>
        <r>
          <rPr>
            <b/>
            <sz val="9"/>
            <color indexed="81"/>
            <rFont val="Tahoma"/>
            <family val="2"/>
          </rPr>
          <t>marae:</t>
        </r>
        <r>
          <rPr>
            <sz val="9"/>
            <color indexed="81"/>
            <rFont val="Tahoma"/>
            <family val="2"/>
          </rPr>
          <t xml:space="preserve">
Se considera los botes de 20 L a un tercio por que se reusan
$/</t>
        </r>
      </text>
    </comment>
    <comment ref="L84" authorId="1" shapeId="0" xr:uid="{A4F9BF47-B149-4629-B70F-6796ADA902F8}">
      <text>
        <r>
          <rPr>
            <b/>
            <sz val="9"/>
            <color indexed="81"/>
            <rFont val="Tahoma"/>
            <family val="2"/>
          </rPr>
          <t>MC:</t>
        </r>
        <r>
          <rPr>
            <sz val="9"/>
            <color indexed="81"/>
            <rFont val="Tahoma"/>
            <family val="2"/>
          </rPr>
          <t xml:space="preserve">
200 L</t>
        </r>
      </text>
    </comment>
    <comment ref="N85" authorId="1" shapeId="0" xr:uid="{02221158-A53B-4964-B73A-3D61A97EEC76}">
      <text>
        <r>
          <rPr>
            <b/>
            <sz val="9"/>
            <color indexed="81"/>
            <rFont val="Tahoma"/>
            <family val="2"/>
          </rPr>
          <t>MC:</t>
        </r>
        <r>
          <rPr>
            <sz val="9"/>
            <color indexed="81"/>
            <rFont val="Tahoma"/>
            <family val="2"/>
          </rPr>
          <t xml:space="preserve">
($ dls/Kg *tc)/densidad
0.964</t>
        </r>
      </text>
    </comment>
    <comment ref="P85" authorId="2" shapeId="0" xr:uid="{C49641B6-C90E-4EAC-90EA-51F556DFBE14}">
      <text>
        <r>
          <rPr>
            <b/>
            <sz val="9"/>
            <color indexed="81"/>
            <rFont val="Tahoma"/>
            <family val="2"/>
          </rPr>
          <t>Autor:</t>
        </r>
        <r>
          <rPr>
            <sz val="9"/>
            <color indexed="81"/>
            <rFont val="Tahoma"/>
            <family val="2"/>
          </rPr>
          <t xml:space="preserve">
1 persona 1 dia para 1 lote de 400 L
1 persona $408.95/dia
=((408.95*2)/800)*H23</t>
        </r>
      </text>
    </comment>
    <comment ref="N86" authorId="1" shapeId="0" xr:uid="{E591DDC3-6F8C-41CE-A8AF-D0D67DD40295}">
      <text>
        <r>
          <rPr>
            <b/>
            <sz val="9"/>
            <color indexed="81"/>
            <rFont val="Tahoma"/>
            <family val="2"/>
          </rPr>
          <t>MC:</t>
        </r>
        <r>
          <rPr>
            <sz val="9"/>
            <color indexed="81"/>
            <rFont val="Tahoma"/>
            <family val="2"/>
          </rPr>
          <t xml:space="preserve">
($ dls/Kg *tc)/densidad
0.849</t>
        </r>
      </text>
    </comment>
    <comment ref="N89" authorId="3" shapeId="0" xr:uid="{09485EBC-8197-45A8-A075-FDF0A017175B}">
      <text>
        <r>
          <rPr>
            <b/>
            <sz val="9"/>
            <color indexed="81"/>
            <rFont val="Tahoma"/>
            <family val="2"/>
          </rPr>
          <t>marae:</t>
        </r>
        <r>
          <rPr>
            <sz val="9"/>
            <color indexed="81"/>
            <rFont val="Tahoma"/>
            <family val="2"/>
          </rPr>
          <t xml:space="preserve">
Se considera los botes de 20 L a un tercio por que se reusan
$/</t>
        </r>
      </text>
    </comment>
    <comment ref="L90" authorId="1" shapeId="0" xr:uid="{6E28AE1A-6B14-4D02-A4D0-6F061395729D}">
      <text>
        <r>
          <rPr>
            <b/>
            <sz val="9"/>
            <color indexed="81"/>
            <rFont val="Tahoma"/>
            <family val="2"/>
          </rPr>
          <t>MC:</t>
        </r>
        <r>
          <rPr>
            <sz val="9"/>
            <color indexed="81"/>
            <rFont val="Tahoma"/>
            <family val="2"/>
          </rPr>
          <t xml:space="preserve">
200 L</t>
        </r>
      </text>
    </comment>
    <comment ref="N91" authorId="1" shapeId="0" xr:uid="{DF1A21A6-9A03-4C42-8B1E-D8C4E0961E16}">
      <text>
        <r>
          <rPr>
            <b/>
            <sz val="9"/>
            <color indexed="81"/>
            <rFont val="Tahoma"/>
            <family val="2"/>
          </rPr>
          <t>MC:</t>
        </r>
        <r>
          <rPr>
            <sz val="9"/>
            <color indexed="81"/>
            <rFont val="Tahoma"/>
            <family val="2"/>
          </rPr>
          <t xml:space="preserve">
($ dls/Kg *tc)/densidad
1.046</t>
        </r>
      </text>
    </comment>
    <comment ref="P91" authorId="2" shapeId="0" xr:uid="{1366B4A6-FE41-4D50-AA45-135D066C388F}">
      <text>
        <r>
          <rPr>
            <b/>
            <sz val="9"/>
            <color indexed="81"/>
            <rFont val="Tahoma"/>
            <family val="2"/>
          </rPr>
          <t>Autor:</t>
        </r>
        <r>
          <rPr>
            <sz val="9"/>
            <color indexed="81"/>
            <rFont val="Tahoma"/>
            <family val="2"/>
          </rPr>
          <t xml:space="preserve">
1 persona 1 dia para 1 lote de 400 L
1 persona $408.95/dia
((408.95*2)/800)*H13</t>
        </r>
      </text>
    </comment>
    <comment ref="N92" authorId="1" shapeId="0" xr:uid="{50FB2DA1-1F3C-4363-9347-2FB774EF9CA0}">
      <text>
        <r>
          <rPr>
            <b/>
            <sz val="9"/>
            <color indexed="81"/>
            <rFont val="Tahoma"/>
            <family val="2"/>
          </rPr>
          <t>MC:</t>
        </r>
        <r>
          <rPr>
            <sz val="9"/>
            <color indexed="81"/>
            <rFont val="Tahoma"/>
            <family val="2"/>
          </rPr>
          <t xml:space="preserve">
($ dls/Kg *tc)/densidad
0.937</t>
        </r>
      </text>
    </comment>
    <comment ref="N93" authorId="1" shapeId="0" xr:uid="{90026C37-27DF-4020-9844-469E7F1A5D9F}">
      <text>
        <r>
          <rPr>
            <b/>
            <sz val="9"/>
            <color indexed="81"/>
            <rFont val="Tahoma"/>
            <family val="2"/>
          </rPr>
          <t>MC:</t>
        </r>
        <r>
          <rPr>
            <sz val="9"/>
            <color indexed="81"/>
            <rFont val="Tahoma"/>
            <family val="2"/>
          </rPr>
          <t xml:space="preserve">
($ dls/Kg *tc)/densidad
0.964</t>
        </r>
      </text>
    </comment>
    <comment ref="N94" authorId="1" shapeId="0" xr:uid="{9AE5C6A9-182A-405A-8953-655CEA9D83FC}">
      <text>
        <r>
          <rPr>
            <b/>
            <sz val="9"/>
            <color indexed="81"/>
            <rFont val="Tahoma"/>
            <family val="2"/>
          </rPr>
          <t>MC:</t>
        </r>
        <r>
          <rPr>
            <sz val="9"/>
            <color indexed="81"/>
            <rFont val="Tahoma"/>
            <family val="2"/>
          </rPr>
          <t xml:space="preserve">
($ dls/Kg *tc)/densidad
0.874</t>
        </r>
      </text>
    </comment>
    <comment ref="N95" authorId="1" shapeId="0" xr:uid="{8CE71AE6-5D29-40B0-BED2-1D2ED9795B79}">
      <text>
        <r>
          <rPr>
            <b/>
            <sz val="9"/>
            <color indexed="81"/>
            <rFont val="Tahoma"/>
            <family val="2"/>
          </rPr>
          <t>MC:</t>
        </r>
        <r>
          <rPr>
            <sz val="9"/>
            <color indexed="81"/>
            <rFont val="Tahoma"/>
            <family val="2"/>
          </rPr>
          <t xml:space="preserve">
($ dls/Kg *tc)/densidad
0.849</t>
        </r>
      </text>
    </comment>
    <comment ref="N98" authorId="3" shapeId="0" xr:uid="{F62C5A88-BB22-46BD-BDFC-5FB80F474B35}">
      <text>
        <r>
          <rPr>
            <b/>
            <sz val="9"/>
            <color indexed="81"/>
            <rFont val="Tahoma"/>
            <family val="2"/>
          </rPr>
          <t>marae:</t>
        </r>
        <r>
          <rPr>
            <sz val="9"/>
            <color indexed="81"/>
            <rFont val="Tahoma"/>
            <family val="2"/>
          </rPr>
          <t xml:space="preserve">
Se considera los botes de 20 L a un tercio por que se reusan
$/</t>
        </r>
      </text>
    </comment>
    <comment ref="L99" authorId="1" shapeId="0" xr:uid="{D3E2E873-7C12-45EE-92EE-D98F2EDE383D}">
      <text>
        <r>
          <rPr>
            <b/>
            <sz val="9"/>
            <color indexed="81"/>
            <rFont val="Tahoma"/>
            <family val="2"/>
          </rPr>
          <t>MC:</t>
        </r>
        <r>
          <rPr>
            <sz val="9"/>
            <color indexed="81"/>
            <rFont val="Tahoma"/>
            <family val="2"/>
          </rPr>
          <t xml:space="preserve">
200 L</t>
        </r>
      </text>
    </comment>
    <comment ref="N100" authorId="1" shapeId="0" xr:uid="{A2D3B31A-1EDB-4036-B409-BA199D18E005}">
      <text>
        <r>
          <rPr>
            <b/>
            <sz val="9"/>
            <color indexed="81"/>
            <rFont val="Tahoma"/>
            <family val="2"/>
          </rPr>
          <t>MC:</t>
        </r>
        <r>
          <rPr>
            <sz val="9"/>
            <color indexed="81"/>
            <rFont val="Tahoma"/>
            <family val="2"/>
          </rPr>
          <t xml:space="preserve">
($ dls/Kg *tc)/densidad
0.9105</t>
        </r>
      </text>
    </comment>
    <comment ref="P100" authorId="2" shapeId="0" xr:uid="{8ADD378F-000D-4F61-910B-567EB8F1577F}">
      <text>
        <r>
          <rPr>
            <b/>
            <sz val="9"/>
            <color indexed="81"/>
            <rFont val="Tahoma"/>
            <family val="2"/>
          </rPr>
          <t>Autor:</t>
        </r>
        <r>
          <rPr>
            <sz val="9"/>
            <color indexed="81"/>
            <rFont val="Tahoma"/>
            <family val="2"/>
          </rPr>
          <t xml:space="preserve">
1 persona 1 dia para 1 lote de 400 L
1 persona $408.95/dia
((408.95*2)/800)*H13</t>
        </r>
      </text>
    </comment>
    <comment ref="N101" authorId="1" shapeId="0" xr:uid="{020FC66F-3A4B-4055-A477-5502ECEAE063}">
      <text>
        <r>
          <rPr>
            <b/>
            <sz val="9"/>
            <color indexed="81"/>
            <rFont val="Tahoma"/>
            <family val="2"/>
          </rPr>
          <t>MC:</t>
        </r>
        <r>
          <rPr>
            <sz val="9"/>
            <color indexed="81"/>
            <rFont val="Tahoma"/>
            <family val="2"/>
          </rPr>
          <t xml:space="preserve">
($ dls/Kg *tc)/densidad
0.937</t>
        </r>
      </text>
    </comment>
    <comment ref="N102" authorId="1" shapeId="0" xr:uid="{3291572B-C684-4768-8141-68425283FA8A}">
      <text>
        <r>
          <rPr>
            <b/>
            <sz val="9"/>
            <color indexed="81"/>
            <rFont val="Tahoma"/>
            <family val="2"/>
          </rPr>
          <t>MC:</t>
        </r>
        <r>
          <rPr>
            <sz val="9"/>
            <color indexed="81"/>
            <rFont val="Tahoma"/>
            <family val="2"/>
          </rPr>
          <t xml:space="preserve">
($ dls/Kg *tc)/densidad
0.851</t>
        </r>
      </text>
    </comment>
    <comment ref="N105" authorId="3" shapeId="0" xr:uid="{6B4022CC-B2F5-48A2-B8B1-611507EB751F}">
      <text>
        <r>
          <rPr>
            <b/>
            <sz val="9"/>
            <color indexed="81"/>
            <rFont val="Tahoma"/>
            <family val="2"/>
          </rPr>
          <t>marae:</t>
        </r>
        <r>
          <rPr>
            <sz val="9"/>
            <color indexed="81"/>
            <rFont val="Tahoma"/>
            <family val="2"/>
          </rPr>
          <t xml:space="preserve">
Se considera los botes de 20 L a un tercio por que se reusan
$/</t>
        </r>
      </text>
    </comment>
    <comment ref="L106" authorId="1" shapeId="0" xr:uid="{538364C2-3D1F-46B2-ACFC-005147125EE3}">
      <text>
        <r>
          <rPr>
            <b/>
            <sz val="9"/>
            <color indexed="81"/>
            <rFont val="Tahoma"/>
            <family val="2"/>
          </rPr>
          <t>MC:</t>
        </r>
        <r>
          <rPr>
            <sz val="9"/>
            <color indexed="81"/>
            <rFont val="Tahoma"/>
            <family val="2"/>
          </rPr>
          <t xml:space="preserve">
200 L</t>
        </r>
      </text>
    </comment>
    <comment ref="N107" authorId="1" shapeId="0" xr:uid="{98C2EF72-2C6A-448C-94A5-1563B798EC5B}">
      <text>
        <r>
          <rPr>
            <b/>
            <sz val="9"/>
            <color indexed="81"/>
            <rFont val="Tahoma"/>
            <family val="2"/>
          </rPr>
          <t>MC:</t>
        </r>
        <r>
          <rPr>
            <sz val="9"/>
            <color indexed="81"/>
            <rFont val="Tahoma"/>
            <family val="2"/>
          </rPr>
          <t xml:space="preserve">
($ dls/Kg *tc)/densidad
0.851</t>
        </r>
      </text>
    </comment>
    <comment ref="N110" authorId="3" shapeId="0" xr:uid="{46789CFD-311D-4818-B4D6-AEAAC7E431DA}">
      <text>
        <r>
          <rPr>
            <b/>
            <sz val="9"/>
            <color indexed="81"/>
            <rFont val="Tahoma"/>
            <family val="2"/>
          </rPr>
          <t>marae:</t>
        </r>
        <r>
          <rPr>
            <sz val="9"/>
            <color indexed="81"/>
            <rFont val="Tahoma"/>
            <family val="2"/>
          </rPr>
          <t xml:space="preserve">
Se considera los botes de 20 L a un tercio por que se reusan
$/</t>
        </r>
      </text>
    </comment>
    <comment ref="N113" authorId="1" shapeId="0" xr:uid="{445C06CD-9DF2-49EF-9CAD-D24F0E9A89E3}">
      <text>
        <r>
          <rPr>
            <b/>
            <sz val="9"/>
            <color indexed="81"/>
            <rFont val="Tahoma"/>
            <family val="2"/>
          </rPr>
          <t>MC:</t>
        </r>
        <r>
          <rPr>
            <sz val="9"/>
            <color indexed="81"/>
            <rFont val="Tahoma"/>
            <family val="2"/>
          </rPr>
          <t xml:space="preserve">
Preco del Brand Crop Mix
dosis 2.5 L/Ha/500 L</t>
        </r>
      </text>
    </comment>
    <comment ref="N114" authorId="1" shapeId="0" xr:uid="{09894210-9E67-4754-A537-1E3684D27087}">
      <text>
        <r>
          <rPr>
            <b/>
            <sz val="9"/>
            <color indexed="81"/>
            <rFont val="Tahoma"/>
            <family val="2"/>
          </rPr>
          <t>MC:</t>
        </r>
        <r>
          <rPr>
            <sz val="9"/>
            <color indexed="81"/>
            <rFont val="Tahoma"/>
            <family val="2"/>
          </rPr>
          <t xml:space="preserve">
Preco del Brand Crop Mix
dosis 2.5 L/Ha/500 L</t>
        </r>
      </text>
    </comment>
    <comment ref="N115" authorId="1" shapeId="0" xr:uid="{F73BD224-DECD-4FD6-B079-C19B643497D0}">
      <text>
        <r>
          <rPr>
            <b/>
            <sz val="9"/>
            <color indexed="81"/>
            <rFont val="Tahoma"/>
            <family val="2"/>
          </rPr>
          <t>MC:</t>
        </r>
        <r>
          <rPr>
            <sz val="9"/>
            <color indexed="81"/>
            <rFont val="Tahoma"/>
            <family val="2"/>
          </rPr>
          <t xml:space="preserve">
Preco del Brand Crop Mix
dosis 2.5 L/Ha/500 L</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MC</author>
    <author>Marae</author>
  </authors>
  <commentList>
    <comment ref="D6" authorId="0" shapeId="0" xr:uid="{23C3706B-3E53-4228-AF7B-88F4DBDCB65F}">
      <text>
        <r>
          <rPr>
            <b/>
            <sz val="9"/>
            <color indexed="81"/>
            <rFont val="Tahoma"/>
            <family val="2"/>
          </rPr>
          <t>MC:</t>
        </r>
        <r>
          <rPr>
            <sz val="9"/>
            <color indexed="81"/>
            <rFont val="Tahoma"/>
            <family val="2"/>
          </rPr>
          <t xml:space="preserve">
1.5 L/Ha</t>
        </r>
      </text>
    </comment>
    <comment ref="F7" authorId="1" shapeId="0" xr:uid="{87095567-55BD-46FA-984D-B7CD87E7BAF4}">
      <text>
        <r>
          <rPr>
            <b/>
            <sz val="9"/>
            <color indexed="81"/>
            <rFont val="Tahoma"/>
            <family val="2"/>
          </rPr>
          <t>Marae:</t>
        </r>
        <r>
          <rPr>
            <sz val="9"/>
            <color indexed="81"/>
            <rFont val="Tahoma"/>
            <family val="2"/>
          </rPr>
          <t xml:space="preserve">
</t>
        </r>
        <r>
          <rPr>
            <b/>
            <sz val="9"/>
            <color indexed="81"/>
            <rFont val="Tahoma"/>
            <family val="2"/>
          </rPr>
          <t>5,240 L</t>
        </r>
        <r>
          <rPr>
            <sz val="9"/>
            <color indexed="81"/>
            <rFont val="Tahoma"/>
            <family val="2"/>
          </rPr>
          <t xml:space="preserve"> Consumo de en Tecoman y Apatzingan, no se cubrio ni lo de una vuelta que era un volumen de 21,600 L
</t>
        </r>
        <r>
          <rPr>
            <b/>
            <sz val="9"/>
            <color indexed="81"/>
            <rFont val="Tahoma"/>
            <family val="2"/>
          </rPr>
          <t>220 L</t>
        </r>
        <r>
          <rPr>
            <sz val="9"/>
            <color indexed="81"/>
            <rFont val="Tahoma"/>
            <family val="2"/>
          </rPr>
          <t xml:space="preserve"> Consumo externo
</t>
        </r>
      </text>
    </comment>
    <comment ref="D11" authorId="0" shapeId="0" xr:uid="{C1D3CA7E-876E-4EBC-BB38-961CB2F6EEB5}">
      <text>
        <r>
          <rPr>
            <b/>
            <sz val="9"/>
            <color indexed="81"/>
            <rFont val="Tahoma"/>
            <family val="2"/>
          </rPr>
          <t>MC:</t>
        </r>
        <r>
          <rPr>
            <sz val="9"/>
            <color indexed="81"/>
            <rFont val="Tahoma"/>
            <family val="2"/>
          </rPr>
          <t xml:space="preserve">
1.5 L/Ha</t>
        </r>
      </text>
    </comment>
    <comment ref="F12" authorId="1" shapeId="0" xr:uid="{DD0ACD50-5B7D-42B9-8D0A-03DB6EB132B2}">
      <text>
        <r>
          <rPr>
            <b/>
            <sz val="9"/>
            <color indexed="81"/>
            <rFont val="Tahoma"/>
            <family val="2"/>
          </rPr>
          <t>Marae:</t>
        </r>
        <r>
          <rPr>
            <sz val="9"/>
            <color indexed="81"/>
            <rFont val="Tahoma"/>
            <family val="2"/>
          </rPr>
          <t xml:space="preserve">
</t>
        </r>
        <r>
          <rPr>
            <b/>
            <sz val="9"/>
            <color indexed="81"/>
            <rFont val="Tahoma"/>
            <family val="2"/>
          </rPr>
          <t>13,760 L</t>
        </r>
        <r>
          <rPr>
            <sz val="9"/>
            <color indexed="81"/>
            <rFont val="Tahoma"/>
            <family val="2"/>
          </rPr>
          <t xml:space="preserve"> Consumo de en Tecoman y Apatzingan, no se cubrio ni lo de una vuelta que era un volumen de 21,600 L
</t>
        </r>
        <r>
          <rPr>
            <b/>
            <sz val="9"/>
            <color indexed="81"/>
            <rFont val="Tahoma"/>
            <family val="2"/>
          </rPr>
          <t>220 L</t>
        </r>
        <r>
          <rPr>
            <sz val="9"/>
            <color indexed="81"/>
            <rFont val="Tahoma"/>
            <family val="2"/>
          </rPr>
          <t xml:space="preserve"> Consumo externo
</t>
        </r>
      </text>
    </comment>
    <comment ref="D16" authorId="0" shapeId="0" xr:uid="{8A4D8CC8-FA2F-4E28-A701-702196A38EAA}">
      <text>
        <r>
          <rPr>
            <b/>
            <sz val="9"/>
            <color indexed="81"/>
            <rFont val="Tahoma"/>
            <family val="2"/>
          </rPr>
          <t>MC:</t>
        </r>
        <r>
          <rPr>
            <sz val="9"/>
            <color indexed="81"/>
            <rFont val="Tahoma"/>
            <family val="2"/>
          </rPr>
          <t xml:space="preserve">
6 veces menos</t>
        </r>
      </text>
    </comment>
    <comment ref="E17" authorId="0" shapeId="0" xr:uid="{3001C8AE-C5A4-4451-9813-565493D32203}">
      <text>
        <r>
          <rPr>
            <b/>
            <sz val="9"/>
            <color indexed="81"/>
            <rFont val="Tahoma"/>
            <family val="2"/>
          </rPr>
          <t>MC:</t>
        </r>
        <r>
          <rPr>
            <sz val="9"/>
            <color indexed="81"/>
            <rFont val="Tahoma"/>
            <family val="2"/>
          </rPr>
          <t xml:space="preserve">
43.5% mas barato</t>
        </r>
      </text>
    </comment>
    <comment ref="F17" authorId="1" shapeId="0" xr:uid="{596E0DAE-731D-4076-9E0F-92796779B845}">
      <text>
        <r>
          <rPr>
            <b/>
            <sz val="9"/>
            <color indexed="81"/>
            <rFont val="Tahoma"/>
            <family val="2"/>
          </rPr>
          <t>Marae:</t>
        </r>
        <r>
          <rPr>
            <sz val="9"/>
            <color indexed="81"/>
            <rFont val="Tahoma"/>
            <family val="2"/>
          </rPr>
          <t xml:space="preserve">
</t>
        </r>
        <r>
          <rPr>
            <b/>
            <sz val="9"/>
            <color indexed="81"/>
            <rFont val="Tahoma"/>
            <family val="2"/>
          </rPr>
          <t>14,760 L</t>
        </r>
        <r>
          <rPr>
            <sz val="9"/>
            <color indexed="81"/>
            <rFont val="Tahoma"/>
            <family val="2"/>
          </rPr>
          <t xml:space="preserve"> Consumo de en Tecoman y Apatzingan, no se cubrio ni lo de una vuelta que era un volumne de 21,600 L
</t>
        </r>
        <r>
          <rPr>
            <b/>
            <sz val="9"/>
            <color indexed="81"/>
            <rFont val="Tahoma"/>
            <family val="2"/>
          </rPr>
          <t>5,800 L</t>
        </r>
        <r>
          <rPr>
            <sz val="9"/>
            <color indexed="81"/>
            <rFont val="Tahoma"/>
            <family val="2"/>
          </rPr>
          <t xml:space="preserve"> Consumo en Pitahayas, Vivero Limon, Cocos
</t>
        </r>
        <r>
          <rPr>
            <b/>
            <sz val="9"/>
            <color indexed="81"/>
            <rFont val="Tahoma"/>
            <family val="2"/>
          </rPr>
          <t>14,700 L</t>
        </r>
        <r>
          <rPr>
            <sz val="9"/>
            <color indexed="81"/>
            <rFont val="Tahoma"/>
            <family val="2"/>
          </rPr>
          <t xml:space="preserve"> Veracruz y Yucatan</t>
        </r>
      </text>
    </comment>
    <comment ref="D21" authorId="0" shapeId="0" xr:uid="{F449A47A-064D-4469-9F54-4D8B8BF920DA}">
      <text>
        <r>
          <rPr>
            <b/>
            <sz val="9"/>
            <color indexed="81"/>
            <rFont val="Tahoma"/>
            <family val="2"/>
          </rPr>
          <t>MC:</t>
        </r>
        <r>
          <rPr>
            <sz val="9"/>
            <color indexed="81"/>
            <rFont val="Tahoma"/>
            <family val="2"/>
          </rPr>
          <t xml:space="preserve">
6 veces menos</t>
        </r>
      </text>
    </comment>
    <comment ref="E22" authorId="0" shapeId="0" xr:uid="{F936BD3E-A12A-4A8B-948F-6132900151B1}">
      <text>
        <r>
          <rPr>
            <b/>
            <sz val="9"/>
            <color indexed="81"/>
            <rFont val="Tahoma"/>
            <family val="2"/>
          </rPr>
          <t>MC:</t>
        </r>
        <r>
          <rPr>
            <sz val="9"/>
            <color indexed="81"/>
            <rFont val="Tahoma"/>
            <family val="2"/>
          </rPr>
          <t xml:space="preserve">
43.5% mas barato</t>
        </r>
      </text>
    </comment>
    <comment ref="H34" authorId="1" shapeId="0" xr:uid="{8613E218-C4C2-4B64-91BC-9912F8D0850A}">
      <text>
        <r>
          <rPr>
            <b/>
            <sz val="9"/>
            <color indexed="81"/>
            <rFont val="Tahoma"/>
            <family val="2"/>
          </rPr>
          <t>Marae:</t>
        </r>
        <r>
          <rPr>
            <sz val="9"/>
            <color indexed="81"/>
            <rFont val="Tahoma"/>
            <family val="2"/>
          </rPr>
          <t xml:space="preserve">
500 - 300 ml/arb
357 arb/Ha
180 - 100 L/Ha</t>
        </r>
      </text>
    </comment>
    <comment ref="D39" authorId="0" shapeId="0" xr:uid="{C586AB6B-DA3A-4300-9934-670C2D7DB969}">
      <text>
        <r>
          <rPr>
            <b/>
            <sz val="9"/>
            <color indexed="81"/>
            <rFont val="Tahoma"/>
            <family val="2"/>
          </rPr>
          <t>MC:</t>
        </r>
        <r>
          <rPr>
            <sz val="9"/>
            <color indexed="81"/>
            <rFont val="Tahoma"/>
            <family val="2"/>
          </rPr>
          <t xml:space="preserve">
4 kg/arb = 357 arbo aprox 1428 kg = 1.5 Ton
5 kg/arb = 1,785 kg 
promedio 1.65 ton/Ha</t>
        </r>
      </text>
    </comment>
    <comment ref="H39" authorId="0" shapeId="0" xr:uid="{0274CAFC-BD7A-40C9-83B5-11311E72E6ED}">
      <text>
        <r>
          <rPr>
            <b/>
            <sz val="9"/>
            <color indexed="81"/>
            <rFont val="Tahoma"/>
            <family val="2"/>
          </rPr>
          <t>MC:</t>
        </r>
        <r>
          <rPr>
            <sz val="9"/>
            <color indexed="81"/>
            <rFont val="Tahoma"/>
            <family val="2"/>
          </rPr>
          <t xml:space="preserve">
4.5 kg/arb = 357 arbo aprox 1606 = 1.65 Ton</t>
        </r>
      </text>
    </comment>
    <comment ref="D40" authorId="0" shapeId="0" xr:uid="{E27620B6-BFD4-487B-9F29-2A4B821A2BD5}">
      <text>
        <r>
          <rPr>
            <b/>
            <sz val="9"/>
            <color indexed="81"/>
            <rFont val="Tahoma"/>
            <family val="2"/>
          </rPr>
          <t>MC:</t>
        </r>
        <r>
          <rPr>
            <sz val="9"/>
            <color indexed="81"/>
            <rFont val="Tahoma"/>
            <family val="2"/>
          </rPr>
          <t xml:space="preserve">
4 kg/arb = 357 arbo aprox 1428 kg = 1.5 Ton
5 kg/arb = 1,785 kg 
promedio 1.65 ton/Ha</t>
        </r>
      </text>
    </comment>
    <comment ref="H40" authorId="0" shapeId="0" xr:uid="{05536A3F-1A81-4F56-A660-0B50AD5F3CDB}">
      <text>
        <r>
          <rPr>
            <b/>
            <sz val="9"/>
            <color indexed="81"/>
            <rFont val="Tahoma"/>
            <family val="2"/>
          </rPr>
          <t>MC:</t>
        </r>
        <r>
          <rPr>
            <sz val="9"/>
            <color indexed="81"/>
            <rFont val="Tahoma"/>
            <family val="2"/>
          </rPr>
          <t xml:space="preserve">
4.5 kg/arb = 357 arbo aprox 1606 = 1.65 Ton</t>
        </r>
      </text>
    </comment>
    <comment ref="D44" authorId="0" shapeId="0" xr:uid="{7460F8F2-8D33-44BA-B51F-AF6D908128A4}">
      <text>
        <r>
          <rPr>
            <b/>
            <sz val="9"/>
            <color indexed="81"/>
            <rFont val="Tahoma"/>
            <family val="2"/>
          </rPr>
          <t>MC:</t>
        </r>
        <r>
          <rPr>
            <sz val="9"/>
            <color indexed="81"/>
            <rFont val="Tahoma"/>
            <family val="2"/>
          </rPr>
          <t xml:space="preserve">
4 kg/arb = 357 arbo aprox 1428 kg = 1.5 Ton
5 kg/arb = 1,785 kg 
promedio 1.65 ton/Ha</t>
        </r>
      </text>
    </comment>
    <comment ref="H44" authorId="0" shapeId="0" xr:uid="{D5BA334F-1873-4E0A-8955-B9FD011D7C7E}">
      <text>
        <r>
          <rPr>
            <b/>
            <sz val="9"/>
            <color indexed="81"/>
            <rFont val="Tahoma"/>
            <family val="2"/>
          </rPr>
          <t>MC:</t>
        </r>
        <r>
          <rPr>
            <sz val="9"/>
            <color indexed="81"/>
            <rFont val="Tahoma"/>
            <family val="2"/>
          </rPr>
          <t xml:space="preserve">
3 kg/arb = 357 arbo aprox 1071 kg = 1.10 Ton</t>
        </r>
      </text>
    </comment>
    <comment ref="D45" authorId="0" shapeId="0" xr:uid="{7F5A8780-B542-41CC-962E-D40EBF7565FF}">
      <text>
        <r>
          <rPr>
            <b/>
            <sz val="9"/>
            <color indexed="81"/>
            <rFont val="Tahoma"/>
            <family val="2"/>
          </rPr>
          <t>MC:</t>
        </r>
        <r>
          <rPr>
            <sz val="9"/>
            <color indexed="81"/>
            <rFont val="Tahoma"/>
            <family val="2"/>
          </rPr>
          <t xml:space="preserve">
4 kg/arb = 357 arbo aprox 1428 kg = 1.5 Ton
5 kg/arb = 1,785 kg 
promedio 1.65 ton/Ha</t>
        </r>
      </text>
    </comment>
    <comment ref="H45" authorId="0" shapeId="0" xr:uid="{83614E85-7DA2-4A29-AE4A-3715C52960C1}">
      <text>
        <r>
          <rPr>
            <b/>
            <sz val="9"/>
            <color indexed="81"/>
            <rFont val="Tahoma"/>
            <family val="2"/>
          </rPr>
          <t>MC:</t>
        </r>
        <r>
          <rPr>
            <sz val="9"/>
            <color indexed="81"/>
            <rFont val="Tahoma"/>
            <family val="2"/>
          </rPr>
          <t xml:space="preserve">
3 kg/arb = 357 arbo aprox 1071 kg = 1.10 Ton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MC</author>
  </authors>
  <commentList>
    <comment ref="N31" authorId="0" shapeId="0" xr:uid="{6FC8DD10-78A8-462B-B991-8D784AC6E769}">
      <text>
        <r>
          <rPr>
            <b/>
            <sz val="9"/>
            <color indexed="81"/>
            <rFont val="Tahoma"/>
            <family val="2"/>
          </rPr>
          <t>MC:</t>
        </r>
        <r>
          <rPr>
            <sz val="9"/>
            <color indexed="81"/>
            <rFont val="Tahoma"/>
            <family val="2"/>
          </rPr>
          <t xml:space="preserve">
165</t>
        </r>
      </text>
    </comment>
    <comment ref="K32" authorId="0" shapeId="0" xr:uid="{0155DF4A-CCE2-4373-8F10-1EF6BCE0AEF1}">
      <text>
        <r>
          <rPr>
            <b/>
            <sz val="9"/>
            <color indexed="81"/>
            <rFont val="Tahoma"/>
            <family val="2"/>
          </rPr>
          <t>MC:</t>
        </r>
        <r>
          <rPr>
            <sz val="9"/>
            <color indexed="81"/>
            <rFont val="Tahoma"/>
            <family val="2"/>
          </rPr>
          <t xml:space="preserve">
=(96/16)*14</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AGROECOLOGIA</author>
    <author>MC</author>
  </authors>
  <commentList>
    <comment ref="H44" authorId="0" shapeId="0" xr:uid="{7989C159-478F-4138-88F3-E54B17E0F54E}">
      <text>
        <r>
          <rPr>
            <b/>
            <sz val="9"/>
            <color indexed="81"/>
            <rFont val="Tahoma"/>
            <family val="2"/>
          </rPr>
          <t>AGROECOLOGIA:</t>
        </r>
        <r>
          <rPr>
            <sz val="9"/>
            <color indexed="81"/>
            <rFont val="Tahoma"/>
            <family val="2"/>
          </rPr>
          <t xml:space="preserve">
V=pi*r2*H</t>
        </r>
      </text>
    </comment>
    <comment ref="G49" authorId="0" shapeId="0" xr:uid="{1FBFB9C4-4407-4AEA-81AC-1D5E1910DA0D}">
      <text>
        <r>
          <rPr>
            <b/>
            <sz val="9"/>
            <color indexed="81"/>
            <rFont val="Tahoma"/>
            <family val="2"/>
          </rPr>
          <t>AGROECOLOGIA:</t>
        </r>
        <r>
          <rPr>
            <sz val="9"/>
            <color indexed="81"/>
            <rFont val="Tahoma"/>
            <family val="2"/>
          </rPr>
          <t xml:space="preserve">
Volumen Piramide Rectangular
V=((bxH)/2)L</t>
        </r>
      </text>
    </comment>
    <comment ref="I49" authorId="0" shapeId="0" xr:uid="{8E93EA0C-D26E-4093-9187-BA0EDFBA2153}">
      <text>
        <r>
          <rPr>
            <b/>
            <sz val="9"/>
            <color indexed="81"/>
            <rFont val="Tahoma"/>
            <family val="2"/>
          </rPr>
          <t>AGROECOLOGIA:</t>
        </r>
        <r>
          <rPr>
            <sz val="9"/>
            <color indexed="81"/>
            <rFont val="Tahoma"/>
            <family val="2"/>
          </rPr>
          <t xml:space="preserve">
Peso de cubeta 30 cm diampetro x 35 cm alto</t>
        </r>
      </text>
    </comment>
    <comment ref="M69" authorId="1" shapeId="0" xr:uid="{760BFD15-A3CE-48E5-A62A-DD582431597C}">
      <text>
        <r>
          <rPr>
            <b/>
            <sz val="9"/>
            <color indexed="81"/>
            <rFont val="Tahoma"/>
            <family val="2"/>
          </rPr>
          <t>MC:</t>
        </r>
        <r>
          <rPr>
            <sz val="9"/>
            <color indexed="81"/>
            <rFont val="Tahoma"/>
            <family val="2"/>
          </rPr>
          <t xml:space="preserve">
es mas caro que el estiercol de la composta por que esta precompostado</t>
        </r>
      </text>
    </comment>
    <comment ref="M71" authorId="1" shapeId="0" xr:uid="{A7EBC136-341E-4D2E-BC0E-5FDC6D2714A1}">
      <text>
        <r>
          <rPr>
            <b/>
            <sz val="9"/>
            <color indexed="81"/>
            <rFont val="Tahoma"/>
            <family val="2"/>
          </rPr>
          <t>MC:</t>
        </r>
        <r>
          <rPr>
            <sz val="9"/>
            <color indexed="81"/>
            <rFont val="Tahoma"/>
            <family val="2"/>
          </rPr>
          <t xml:space="preserve">
Considre por 3 or que se mete ya precomposteado</t>
        </r>
      </text>
    </comment>
    <comment ref="G95" authorId="0" shapeId="0" xr:uid="{8E6B3AD0-C758-4033-A805-C66BB45BDBA2}">
      <text>
        <r>
          <rPr>
            <b/>
            <sz val="9"/>
            <color indexed="81"/>
            <rFont val="Tahoma"/>
            <family val="2"/>
          </rPr>
          <t>AGROECOLOGIA:</t>
        </r>
        <r>
          <rPr>
            <sz val="9"/>
            <color indexed="81"/>
            <rFont val="Tahoma"/>
            <family val="2"/>
          </rPr>
          <t xml:space="preserve">
Volumen Piramide Rectangular
V=((bxH)/2)L</t>
        </r>
      </text>
    </comment>
    <comment ref="I95" authorId="0" shapeId="0" xr:uid="{B530D0BB-FA60-4F96-8371-3DDF17EDF7D5}">
      <text>
        <r>
          <rPr>
            <b/>
            <sz val="9"/>
            <color indexed="81"/>
            <rFont val="Tahoma"/>
            <family val="2"/>
          </rPr>
          <t>AGROECOLOGIA:</t>
        </r>
        <r>
          <rPr>
            <sz val="9"/>
            <color indexed="81"/>
            <rFont val="Tahoma"/>
            <family val="2"/>
          </rPr>
          <t xml:space="preserve">
Peso de cubeta 30 cm diampetro x 35 cm alto</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Marae</author>
  </authors>
  <commentList>
    <comment ref="G21" authorId="0" shapeId="0" xr:uid="{07B6BE92-280B-4D34-A33C-2CFF23A9BC85}">
      <text>
        <r>
          <rPr>
            <b/>
            <sz val="9"/>
            <color indexed="81"/>
            <rFont val="Tahoma"/>
            <family val="2"/>
          </rPr>
          <t>Marae:</t>
        </r>
        <r>
          <rPr>
            <sz val="9"/>
            <color indexed="81"/>
            <rFont val="Tahoma"/>
            <family val="2"/>
          </rPr>
          <t xml:space="preserve">
Basado en la produccion/demanda Ene-Mayo 2024. 
Sin considerar ventas externas, seria el requemiento para 
1,400 L MD-Citri
1,000 L CT-Citri</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Marae</author>
  </authors>
  <commentList>
    <comment ref="Y3" authorId="0" shapeId="0" xr:uid="{3DD0D95C-71F0-41B0-92FE-0D5619A58116}">
      <text>
        <r>
          <rPr>
            <b/>
            <sz val="9"/>
            <color indexed="81"/>
            <rFont val="Tahoma"/>
            <family val="2"/>
          </rPr>
          <t>Marae:</t>
        </r>
        <r>
          <rPr>
            <sz val="9"/>
            <color indexed="81"/>
            <rFont val="Tahoma"/>
            <family val="2"/>
          </rPr>
          <t xml:space="preserve">
4 en cbt 19 L
1 en bidon 50 L</t>
        </r>
      </text>
    </comment>
    <comment ref="AC3" authorId="0" shapeId="0" xr:uid="{58A8BC4D-8978-444E-B707-61ACAE818549}">
      <text>
        <r>
          <rPr>
            <b/>
            <sz val="9"/>
            <color indexed="81"/>
            <rFont val="Tahoma"/>
            <family val="2"/>
          </rPr>
          <t>Marae:</t>
        </r>
        <r>
          <rPr>
            <sz val="9"/>
            <color indexed="81"/>
            <rFont val="Tahoma"/>
            <family val="2"/>
          </rPr>
          <t xml:space="preserve">
3  pz en bidon 50 L</t>
        </r>
      </text>
    </comment>
    <comment ref="AE3" authorId="0" shapeId="0" xr:uid="{2533380F-20A7-4FD4-8C55-3C3370036EC7}">
      <text>
        <r>
          <rPr>
            <b/>
            <sz val="9"/>
            <color indexed="81"/>
            <rFont val="Tahoma"/>
            <family val="2"/>
          </rPr>
          <t>Marae:</t>
        </r>
        <r>
          <rPr>
            <sz val="9"/>
            <color indexed="81"/>
            <rFont val="Tahoma"/>
            <family val="2"/>
          </rPr>
          <t xml:space="preserve">
3  pz en bidon 50 L</t>
        </r>
      </text>
    </comment>
    <comment ref="U14" authorId="0" shapeId="0" xr:uid="{143E3920-0BB0-4C91-BBD4-CBBD4BB2EAE2}">
      <text>
        <r>
          <rPr>
            <b/>
            <sz val="9"/>
            <color indexed="81"/>
            <rFont val="Tahoma"/>
            <family val="2"/>
          </rPr>
          <t>Marae:</t>
        </r>
        <r>
          <rPr>
            <sz val="9"/>
            <color indexed="81"/>
            <rFont val="Tahoma"/>
            <family val="2"/>
          </rPr>
          <t xml:space="preserve">
sin considerar la mie cristalizada en envase de 1 li, en planta b</t>
        </r>
      </text>
    </comment>
    <comment ref="A16" authorId="0" shapeId="0" xr:uid="{AF7D25CD-16D2-45D7-BA3F-A13367072818}">
      <text>
        <r>
          <rPr>
            <b/>
            <sz val="9"/>
            <color indexed="81"/>
            <rFont val="Tahoma"/>
            <family val="2"/>
          </rPr>
          <t>Marae:</t>
        </r>
        <r>
          <rPr>
            <sz val="9"/>
            <color indexed="81"/>
            <rFont val="Tahoma"/>
            <family val="2"/>
          </rPr>
          <t xml:space="preserve">
A la sem. 11 16 de marzo ok</t>
        </r>
      </text>
    </comment>
    <comment ref="U16" authorId="0" shapeId="0" xr:uid="{72651563-5A11-470E-BAD1-F8C27BA8DEB7}">
      <text>
        <r>
          <rPr>
            <b/>
            <sz val="9"/>
            <color indexed="81"/>
            <rFont val="Tahoma"/>
            <family val="2"/>
          </rPr>
          <t>Marae:</t>
        </r>
        <r>
          <rPr>
            <sz val="9"/>
            <color indexed="81"/>
            <rFont val="Tahoma"/>
            <family val="2"/>
          </rPr>
          <t xml:space="preserve">
Reporte miel enviada</t>
        </r>
      </text>
    </comment>
    <comment ref="U17" authorId="0" shapeId="0" xr:uid="{001D21CB-6DD4-430F-B11E-21F31AC4FB7F}">
      <text>
        <r>
          <rPr>
            <b/>
            <sz val="9"/>
            <color indexed="81"/>
            <rFont val="Tahoma"/>
            <family val="2"/>
          </rPr>
          <t>Marae:</t>
        </r>
        <r>
          <rPr>
            <sz val="9"/>
            <color indexed="81"/>
            <rFont val="Tahoma"/>
            <family val="2"/>
          </rPr>
          <t xml:space="preserve">
Reporte miel enviada</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Marae</author>
  </authors>
  <commentList>
    <comment ref="C5" authorId="0" shapeId="0" xr:uid="{ADF60B2A-4FE0-4B55-8F29-9405BE8237F4}">
      <text>
        <r>
          <rPr>
            <b/>
            <sz val="9"/>
            <color indexed="81"/>
            <rFont val="Tahoma"/>
            <family val="2"/>
          </rPr>
          <t>Marae:</t>
        </r>
        <r>
          <rPr>
            <sz val="9"/>
            <color indexed="81"/>
            <rFont val="Tahoma"/>
            <family val="2"/>
          </rPr>
          <t xml:space="preserve">
11 litros en el contenedor de miel</t>
        </r>
      </text>
    </comment>
    <comment ref="C6" authorId="0" shapeId="0" xr:uid="{862C5BE6-23BE-4DB3-868F-D9F81CE6A8DC}">
      <text>
        <r>
          <rPr>
            <b/>
            <sz val="9"/>
            <color indexed="81"/>
            <rFont val="Tahoma"/>
            <family val="2"/>
          </rPr>
          <t>Marae:</t>
        </r>
        <r>
          <rPr>
            <sz val="9"/>
            <color indexed="81"/>
            <rFont val="Tahoma"/>
            <family val="2"/>
          </rPr>
          <t xml:space="preserve">
11 L en el contenedor de miel</t>
        </r>
      </text>
    </comment>
    <comment ref="Q9" authorId="0" shapeId="0" xr:uid="{A16DF913-BC47-4D7B-9D57-1708AEA48376}">
      <text>
        <r>
          <rPr>
            <b/>
            <sz val="9"/>
            <color indexed="81"/>
            <rFont val="Tahoma"/>
            <family val="2"/>
          </rPr>
          <t>Marae:</t>
        </r>
        <r>
          <rPr>
            <sz val="9"/>
            <color indexed="81"/>
            <rFont val="Tahoma"/>
            <family val="2"/>
          </rPr>
          <t xml:space="preserve">
Estan en Planta B, pero son restos cristalizados</t>
        </r>
      </text>
    </comment>
    <comment ref="J19" authorId="0" shapeId="0" xr:uid="{9CC5CCED-6ABC-4023-BF5F-135BFEF305A7}">
      <text>
        <r>
          <rPr>
            <b/>
            <sz val="9"/>
            <color indexed="81"/>
            <rFont val="Tahoma"/>
            <family val="2"/>
          </rPr>
          <t>Marae:</t>
        </r>
        <r>
          <rPr>
            <sz val="9"/>
            <color indexed="81"/>
            <rFont val="Tahoma"/>
            <family val="2"/>
          </rPr>
          <t xml:space="preserve">
70.68</t>
        </r>
      </text>
    </comment>
    <comment ref="J20" authorId="0" shapeId="0" xr:uid="{031E4BFF-C111-43B9-9978-4413155D0F0F}">
      <text>
        <r>
          <rPr>
            <b/>
            <sz val="9"/>
            <color indexed="81"/>
            <rFont val="Tahoma"/>
            <family val="2"/>
          </rPr>
          <t>Marae:</t>
        </r>
        <r>
          <rPr>
            <sz val="9"/>
            <color indexed="81"/>
            <rFont val="Tahoma"/>
            <family val="2"/>
          </rPr>
          <t xml:space="preserve">
70.24</t>
        </r>
      </text>
    </comment>
    <comment ref="J21" authorId="0" shapeId="0" xr:uid="{E8F6E6A7-F83C-4ADD-945D-F419B8F49388}">
      <text>
        <r>
          <rPr>
            <b/>
            <sz val="9"/>
            <color indexed="81"/>
            <rFont val="Tahoma"/>
            <family val="2"/>
          </rPr>
          <t>Marae:</t>
        </r>
        <r>
          <rPr>
            <sz val="9"/>
            <color indexed="81"/>
            <rFont val="Tahoma"/>
            <family val="2"/>
          </rPr>
          <t xml:space="preserve">
70.28</t>
        </r>
      </text>
    </comment>
    <comment ref="H44" authorId="0" shapeId="0" xr:uid="{431C4F7B-0312-4248-BFC0-0EED63ABA5EA}">
      <text>
        <r>
          <rPr>
            <b/>
            <sz val="9"/>
            <color indexed="81"/>
            <rFont val="Tahoma"/>
            <family val="2"/>
          </rPr>
          <t>Marae:</t>
        </r>
        <r>
          <rPr>
            <sz val="9"/>
            <color indexed="81"/>
            <rFont val="Tahoma"/>
            <family val="2"/>
          </rPr>
          <t xml:space="preserve">
24.54</t>
        </r>
      </text>
    </comment>
    <comment ref="J61" authorId="0" shapeId="0" xr:uid="{02E359BB-BBA7-4645-B07F-6DEF0AA6A4A9}">
      <text>
        <r>
          <rPr>
            <b/>
            <sz val="9"/>
            <color indexed="81"/>
            <rFont val="Tahoma"/>
            <family val="2"/>
          </rPr>
          <t>Marae:</t>
        </r>
        <r>
          <rPr>
            <sz val="9"/>
            <color indexed="81"/>
            <rFont val="Tahoma"/>
            <family val="2"/>
          </rPr>
          <t xml:space="preserve">
59.66</t>
        </r>
      </text>
    </comment>
    <comment ref="J64" authorId="0" shapeId="0" xr:uid="{70A97E2B-930B-4854-9BA3-8F7FA0E8111A}">
      <text>
        <r>
          <rPr>
            <b/>
            <sz val="9"/>
            <color indexed="81"/>
            <rFont val="Tahoma"/>
            <family val="2"/>
          </rPr>
          <t>Marae:</t>
        </r>
        <r>
          <rPr>
            <sz val="9"/>
            <color indexed="81"/>
            <rFont val="Tahoma"/>
            <family val="2"/>
          </rPr>
          <t xml:space="preserve">
71.66</t>
        </r>
      </text>
    </comment>
    <comment ref="J65" authorId="0" shapeId="0" xr:uid="{29306468-0539-47F9-B77E-F5B359CA3BAB}">
      <text>
        <r>
          <rPr>
            <b/>
            <sz val="9"/>
            <color indexed="81"/>
            <rFont val="Tahoma"/>
            <family val="2"/>
          </rPr>
          <t>Marae:</t>
        </r>
        <r>
          <rPr>
            <sz val="9"/>
            <color indexed="81"/>
            <rFont val="Tahoma"/>
            <family val="2"/>
          </rPr>
          <t xml:space="preserve">
53.64</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Marae</author>
  </authors>
  <commentList>
    <comment ref="Q11" authorId="0" shapeId="0" xr:uid="{32C3C0E2-F5D2-46CB-B721-CE75F13516DD}">
      <text>
        <r>
          <rPr>
            <b/>
            <sz val="9"/>
            <color indexed="81"/>
            <rFont val="Tahoma"/>
            <family val="2"/>
          </rPr>
          <t>Marae:</t>
        </r>
        <r>
          <rPr>
            <sz val="9"/>
            <color indexed="81"/>
            <rFont val="Tahoma"/>
            <family val="2"/>
          </rPr>
          <t xml:space="preserve">
Estan en Planta B, pero son restos cristalizados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Marae</author>
  </authors>
  <commentList>
    <comment ref="C5" authorId="0" shapeId="0" xr:uid="{9B032A26-969E-4FFC-9D28-1E5B700F1F3F}">
      <text>
        <r>
          <rPr>
            <b/>
            <sz val="9"/>
            <color indexed="81"/>
            <rFont val="Tahoma"/>
            <family val="2"/>
          </rPr>
          <t>Marae:</t>
        </r>
        <r>
          <rPr>
            <sz val="9"/>
            <color indexed="81"/>
            <rFont val="Tahoma"/>
            <family val="2"/>
          </rPr>
          <t xml:space="preserve">
11 litros en el contenedor de miel</t>
        </r>
      </text>
    </comment>
    <comment ref="C6" authorId="0" shapeId="0" xr:uid="{CDC30D89-1F47-4FF3-85A7-448E46CE8A62}">
      <text>
        <r>
          <rPr>
            <b/>
            <sz val="9"/>
            <color indexed="81"/>
            <rFont val="Tahoma"/>
            <family val="2"/>
          </rPr>
          <t>Marae:</t>
        </r>
        <r>
          <rPr>
            <sz val="9"/>
            <color indexed="81"/>
            <rFont val="Tahoma"/>
            <family val="2"/>
          </rPr>
          <t xml:space="preserve">
11 L en el contenedor de miel</t>
        </r>
      </text>
    </comment>
    <comment ref="E11" authorId="0" shapeId="0" xr:uid="{B779FD19-E59B-48B2-93C2-1BA6C6144C31}">
      <text>
        <r>
          <rPr>
            <b/>
            <sz val="9"/>
            <color indexed="81"/>
            <rFont val="Tahoma"/>
            <family val="2"/>
          </rPr>
          <t>Marae:</t>
        </r>
        <r>
          <rPr>
            <sz val="9"/>
            <color indexed="81"/>
            <rFont val="Tahoma"/>
            <family val="2"/>
          </rPr>
          <t xml:space="preserve">
254.8</t>
        </r>
      </text>
    </comment>
    <comment ref="Q11" authorId="0" shapeId="0" xr:uid="{3DFC1983-A18E-4BE4-8D49-329990BE4D08}">
      <text>
        <r>
          <rPr>
            <b/>
            <sz val="9"/>
            <color indexed="81"/>
            <rFont val="Tahoma"/>
            <family val="2"/>
          </rPr>
          <t>Marae:</t>
        </r>
        <r>
          <rPr>
            <sz val="9"/>
            <color indexed="81"/>
            <rFont val="Tahoma"/>
            <family val="2"/>
          </rPr>
          <t xml:space="preserve">
Estan en Planta B, pero son restos cristalizados</t>
        </r>
      </text>
    </comment>
    <comment ref="J93" authorId="0" shapeId="0" xr:uid="{FF48103F-C01B-4A13-B2C2-7C2420CC187F}">
      <text>
        <r>
          <rPr>
            <b/>
            <sz val="9"/>
            <color indexed="81"/>
            <rFont val="Tahoma"/>
            <family val="2"/>
          </rPr>
          <t>Marae:</t>
        </r>
        <r>
          <rPr>
            <sz val="9"/>
            <color indexed="81"/>
            <rFont val="Tahoma"/>
            <family val="2"/>
          </rPr>
          <t xml:space="preserve">
1.58</t>
        </r>
      </text>
    </comment>
    <comment ref="J94" authorId="0" shapeId="0" xr:uid="{EDDEC21E-658E-45FC-B2D5-1145FAA463CA}">
      <text>
        <r>
          <rPr>
            <b/>
            <sz val="9"/>
            <color indexed="81"/>
            <rFont val="Tahoma"/>
            <family val="2"/>
          </rPr>
          <t>Marae:</t>
        </r>
        <r>
          <rPr>
            <sz val="9"/>
            <color indexed="81"/>
            <rFont val="Tahoma"/>
            <family val="2"/>
          </rPr>
          <t xml:space="preserve">
3.4</t>
        </r>
      </text>
    </comment>
    <comment ref="J95" authorId="0" shapeId="0" xr:uid="{D8FE0FFF-FDAB-4B79-AE46-561EB0CDEF19}">
      <text>
        <r>
          <rPr>
            <b/>
            <sz val="9"/>
            <color indexed="81"/>
            <rFont val="Tahoma"/>
            <family val="2"/>
          </rPr>
          <t>Marae:</t>
        </r>
        <r>
          <rPr>
            <sz val="9"/>
            <color indexed="81"/>
            <rFont val="Tahoma"/>
            <family val="2"/>
          </rPr>
          <t xml:space="preserve">
5.65</t>
        </r>
      </text>
    </comment>
    <comment ref="H153" authorId="0" shapeId="0" xr:uid="{C299342A-D3AD-426F-B4F8-1F9AFE9547E4}">
      <text>
        <r>
          <rPr>
            <b/>
            <sz val="9"/>
            <color indexed="81"/>
            <rFont val="Tahoma"/>
            <family val="2"/>
          </rPr>
          <t>Marae:</t>
        </r>
        <r>
          <rPr>
            <sz val="9"/>
            <color indexed="81"/>
            <rFont val="Tahoma"/>
            <family val="2"/>
          </rPr>
          <t xml:space="preserve">
0.46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Marae</author>
    <author>MC</author>
  </authors>
  <commentList>
    <comment ref="D8" authorId="0" shapeId="0" xr:uid="{E2F028CF-66B5-4465-8090-FE5B4A0D1ABD}">
      <text>
        <r>
          <rPr>
            <b/>
            <sz val="9"/>
            <color indexed="81"/>
            <rFont val="Tahoma"/>
            <family val="2"/>
          </rPr>
          <t>Marae:</t>
        </r>
        <r>
          <rPr>
            <sz val="9"/>
            <color indexed="81"/>
            <rFont val="Tahoma"/>
            <family val="2"/>
          </rPr>
          <t xml:space="preserve">
=SI(D16&gt;0,D31/D16,0)</t>
        </r>
      </text>
    </comment>
    <comment ref="E18" authorId="0" shapeId="0" xr:uid="{0EAA39C0-3BEA-45BF-9068-FC313CF1B2EC}">
      <text>
        <r>
          <rPr>
            <b/>
            <sz val="9"/>
            <color indexed="81"/>
            <rFont val="Tahoma"/>
            <family val="2"/>
          </rPr>
          <t>Marae:</t>
        </r>
        <r>
          <rPr>
            <sz val="9"/>
            <color indexed="81"/>
            <rFont val="Tahoma"/>
            <family val="2"/>
          </rPr>
          <t xml:space="preserve">
Inventario final dic 2022
7,273.7</t>
        </r>
      </text>
    </comment>
    <comment ref="E24" authorId="0" shapeId="0" xr:uid="{6F6C2768-2C87-4BBB-A90A-6F118CAF3A47}">
      <text>
        <r>
          <rPr>
            <b/>
            <sz val="9"/>
            <color indexed="81"/>
            <rFont val="Tahoma"/>
            <family val="2"/>
          </rPr>
          <t>Marae:</t>
        </r>
        <r>
          <rPr>
            <sz val="9"/>
            <color indexed="81"/>
            <rFont val="Tahoma"/>
            <family val="2"/>
          </rPr>
          <t xml:space="preserve">
$185</t>
        </r>
      </text>
    </comment>
    <comment ref="C36" authorId="0" shapeId="0" xr:uid="{32BD093F-C3D4-4225-B31F-471220056B56}">
      <text>
        <r>
          <rPr>
            <b/>
            <sz val="9"/>
            <color indexed="81"/>
            <rFont val="Tahoma"/>
            <family val="2"/>
          </rPr>
          <t>Marae:</t>
        </r>
        <r>
          <rPr>
            <sz val="9"/>
            <color indexed="81"/>
            <rFont val="Tahoma"/>
            <family val="2"/>
          </rPr>
          <t xml:space="preserve">
Incluye Almacen y Otros Gastos</t>
        </r>
      </text>
    </comment>
    <comment ref="D43" authorId="0" shapeId="0" xr:uid="{0E9F2610-BC5A-45F3-BFF0-F3C3033FDAEF}">
      <text>
        <r>
          <rPr>
            <b/>
            <sz val="9"/>
            <color indexed="81"/>
            <rFont val="Tahoma"/>
            <family val="2"/>
          </rPr>
          <t>Marae:</t>
        </r>
        <r>
          <rPr>
            <sz val="9"/>
            <color indexed="81"/>
            <rFont val="Tahoma"/>
            <family val="2"/>
          </rPr>
          <t xml:space="preserve">
=SI(D16&gt;0,D31/D16,0)</t>
        </r>
      </text>
    </comment>
    <comment ref="C47" authorId="0" shapeId="0" xr:uid="{5AA2B045-3D32-4874-BDCD-D6FCE1C2F6D6}">
      <text>
        <r>
          <rPr>
            <b/>
            <sz val="9"/>
            <color indexed="81"/>
            <rFont val="Tahoma"/>
            <family val="2"/>
          </rPr>
          <t>Marae:</t>
        </r>
        <r>
          <rPr>
            <sz val="9"/>
            <color indexed="81"/>
            <rFont val="Tahoma"/>
            <family val="2"/>
          </rPr>
          <t xml:space="preserve">
Incluye Almacen y otros gastos</t>
        </r>
      </text>
    </comment>
    <comment ref="C48" authorId="1" shapeId="0" xr:uid="{B4540455-1ECF-4E06-B834-2086CF3DC779}">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48" authorId="0" shapeId="0" xr:uid="{95BEB56A-8BC2-43A4-A77A-98BBD1CC512C}">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50" authorId="0" shapeId="0" xr:uid="{D88BD434-9700-45A9-BC3B-5651DFBBA0F4}">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M55" authorId="0" shapeId="0" xr:uid="{10F2DC29-AEBE-4B51-9548-988D544E81CB}">
      <text>
        <r>
          <rPr>
            <b/>
            <sz val="9"/>
            <color indexed="81"/>
            <rFont val="Tahoma"/>
            <family val="2"/>
          </rPr>
          <t>Marae:</t>
        </r>
        <r>
          <rPr>
            <sz val="9"/>
            <color indexed="81"/>
            <rFont val="Tahoma"/>
            <family val="2"/>
          </rPr>
          <t xml:space="preserve">
Desbrozadora</t>
        </r>
      </text>
    </comment>
    <comment ref="C60" authorId="0" shapeId="0" xr:uid="{D8736F40-27D3-4CBC-A08C-88B34AEF79BC}">
      <text>
        <r>
          <rPr>
            <b/>
            <sz val="9"/>
            <color indexed="81"/>
            <rFont val="Tahoma"/>
            <family val="2"/>
          </rPr>
          <t>Marae:</t>
        </r>
        <r>
          <rPr>
            <sz val="9"/>
            <color indexed="81"/>
            <rFont val="Tahoma"/>
            <family val="2"/>
          </rPr>
          <t xml:space="preserve">
Estimado considerando solo el 50% del COSTO TOTAL</t>
        </r>
      </text>
    </comment>
    <comment ref="C61" authorId="0" shapeId="0" xr:uid="{CEC0CAB3-E9E7-44A2-A33D-4C5A2E91BC9F}">
      <text>
        <r>
          <rPr>
            <b/>
            <sz val="9"/>
            <color indexed="81"/>
            <rFont val="Tahoma"/>
            <family val="2"/>
          </rPr>
          <t>Marae:</t>
        </r>
        <r>
          <rPr>
            <sz val="9"/>
            <color indexed="81"/>
            <rFont val="Tahoma"/>
            <family val="2"/>
          </rPr>
          <t xml:space="preserve">
Estimado considerando solo el 50% del Costo de Produccion</t>
        </r>
      </text>
    </comment>
    <comment ref="M67" authorId="0" shapeId="0" xr:uid="{EB98812C-DD35-41DE-A9B9-8EF766451AF7}">
      <text>
        <r>
          <rPr>
            <b/>
            <sz val="9"/>
            <color indexed="81"/>
            <rFont val="Tahoma"/>
            <family val="2"/>
          </rPr>
          <t>Marae:</t>
        </r>
        <r>
          <rPr>
            <sz val="9"/>
            <color indexed="81"/>
            <rFont val="Tahoma"/>
            <family val="2"/>
          </rPr>
          <t xml:space="preserve">
No se tienen cobrados 200 ml del 15/sep Roberto Padilla, El caminero</t>
        </r>
      </text>
    </comment>
    <comment ref="O67" authorId="0" shapeId="0" xr:uid="{20B5582E-915C-48F5-8B60-5773D4CBE404}">
      <text>
        <r>
          <rPr>
            <b/>
            <sz val="9"/>
            <color indexed="81"/>
            <rFont val="Tahoma"/>
            <family val="2"/>
          </rPr>
          <t>Marae:</t>
        </r>
        <r>
          <rPr>
            <sz val="9"/>
            <color indexed="81"/>
            <rFont val="Tahoma"/>
            <family val="2"/>
          </rPr>
          <t xml:space="preserve">
300 ML del 30 Nov que no estan aquí considerados de San Francisco Persa</t>
        </r>
      </text>
    </comment>
    <comment ref="P67" authorId="0" shapeId="0" xr:uid="{50D71475-EF8A-4CC5-9A17-D4E82CE71858}">
      <text>
        <r>
          <rPr>
            <b/>
            <sz val="9"/>
            <color indexed="81"/>
            <rFont val="Tahoma"/>
            <family val="2"/>
          </rPr>
          <t>Marae:</t>
        </r>
        <r>
          <rPr>
            <sz val="9"/>
            <color indexed="81"/>
            <rFont val="Tahoma"/>
            <family val="2"/>
          </rPr>
          <t xml:space="preserve">
-300 ml de Nov Sn Fco Persa Noe cobrados en Nov
</t>
        </r>
      </text>
    </comment>
    <comment ref="C79" authorId="0" shapeId="0" xr:uid="{4B26261D-A28A-4A0C-BA93-5D353794BE16}">
      <text>
        <r>
          <rPr>
            <b/>
            <sz val="9"/>
            <color indexed="81"/>
            <rFont val="Tahoma"/>
            <family val="2"/>
          </rPr>
          <t>Marae:</t>
        </r>
        <r>
          <rPr>
            <sz val="9"/>
            <color indexed="81"/>
            <rFont val="Tahoma"/>
            <family val="2"/>
          </rPr>
          <t xml:space="preserve">
Incluye Almacen y Otros Gastos</t>
        </r>
      </text>
    </comment>
    <comment ref="D85" authorId="0" shapeId="0" xr:uid="{772A993A-7986-45AC-8679-984A0561DDDD}">
      <text>
        <r>
          <rPr>
            <b/>
            <sz val="9"/>
            <color indexed="81"/>
            <rFont val="Tahoma"/>
            <family val="2"/>
          </rPr>
          <t>Marae:</t>
        </r>
        <r>
          <rPr>
            <sz val="9"/>
            <color indexed="81"/>
            <rFont val="Tahoma"/>
            <family val="2"/>
          </rPr>
          <t xml:space="preserve">
=SI(D16&gt;0,D31/D16,0)</t>
        </r>
      </text>
    </comment>
    <comment ref="C90" authorId="0" shapeId="0" xr:uid="{6342663D-8940-4F1C-A7F0-6473996C6095}">
      <text>
        <r>
          <rPr>
            <b/>
            <sz val="9"/>
            <color indexed="81"/>
            <rFont val="Tahoma"/>
            <family val="2"/>
          </rPr>
          <t>Marae:</t>
        </r>
        <r>
          <rPr>
            <sz val="9"/>
            <color indexed="81"/>
            <rFont val="Tahoma"/>
            <family val="2"/>
          </rPr>
          <t xml:space="preserve">
En administrativos Almacen</t>
        </r>
      </text>
    </comment>
    <comment ref="C91" authorId="0" shapeId="0" xr:uid="{544FF6CA-8F61-4BAB-872A-0108FD2A9913}">
      <text>
        <r>
          <rPr>
            <b/>
            <sz val="9"/>
            <color indexed="81"/>
            <rFont val="Tahoma"/>
            <family val="2"/>
          </rPr>
          <t>Marae:</t>
        </r>
        <r>
          <rPr>
            <sz val="9"/>
            <color indexed="81"/>
            <rFont val="Tahoma"/>
            <family val="2"/>
          </rPr>
          <t xml:space="preserve">
Incluye Almacen y otros gastos</t>
        </r>
      </text>
    </comment>
    <comment ref="C92" authorId="1" shapeId="0" xr:uid="{A37B8E27-385A-4C1D-9368-B14710D54373}">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92" authorId="0" shapeId="0" xr:uid="{310E2068-1E79-4017-8DBD-8A8A8D730372}">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94" authorId="0" shapeId="0" xr:uid="{7D322F03-9B24-4F5A-B21A-8C406F4EF4CA}">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C104" authorId="0" shapeId="0" xr:uid="{DD378C1E-5203-4804-BFD9-595743A0071B}">
      <text>
        <r>
          <rPr>
            <b/>
            <sz val="9"/>
            <color indexed="81"/>
            <rFont val="Tahoma"/>
            <family val="2"/>
          </rPr>
          <t>Marae:</t>
        </r>
        <r>
          <rPr>
            <sz val="9"/>
            <color indexed="81"/>
            <rFont val="Tahoma"/>
            <family val="2"/>
          </rPr>
          <t xml:space="preserve">
Estimado considerando solo el 50% del COSTO TOTAL</t>
        </r>
      </text>
    </comment>
    <comment ref="D115" authorId="0" shapeId="0" xr:uid="{01957BB7-1AB3-403A-9563-161F763D6655}">
      <text>
        <r>
          <rPr>
            <b/>
            <sz val="9"/>
            <color indexed="81"/>
            <rFont val="Tahoma"/>
            <family val="2"/>
          </rPr>
          <t>Marae:</t>
        </r>
        <r>
          <rPr>
            <sz val="9"/>
            <color indexed="81"/>
            <rFont val="Tahoma"/>
            <family val="2"/>
          </rPr>
          <t xml:space="preserve">
Inventario cero planta b
en almacen marca 700 L cierre dic</t>
        </r>
      </text>
    </comment>
    <comment ref="D116" authorId="0" shapeId="0" xr:uid="{82A2BC26-7649-450B-B694-DBB1A2F2C781}">
      <text>
        <r>
          <rPr>
            <b/>
            <sz val="9"/>
            <color indexed="81"/>
            <rFont val="Tahoma"/>
            <family val="2"/>
          </rPr>
          <t>Marae:</t>
        </r>
        <r>
          <rPr>
            <sz val="9"/>
            <color indexed="81"/>
            <rFont val="Tahoma"/>
            <family val="2"/>
          </rPr>
          <t xml:space="preserve">
Inventario cero Planta b
en almacen marca 320 L cierre dic</t>
        </r>
      </text>
    </comment>
    <comment ref="D117" authorId="0" shapeId="0" xr:uid="{7FE22F88-083D-43DF-B7F2-DB72BF1914F1}">
      <text>
        <r>
          <rPr>
            <b/>
            <sz val="9"/>
            <color indexed="81"/>
            <rFont val="Tahoma"/>
            <family val="2"/>
          </rPr>
          <t>Marae:</t>
        </r>
        <r>
          <rPr>
            <sz val="9"/>
            <color indexed="81"/>
            <rFont val="Tahoma"/>
            <family val="2"/>
          </rPr>
          <t xml:space="preserve">
Se cerro el 2023 con 580 L en inventario</t>
        </r>
      </text>
    </comment>
    <comment ref="D118" authorId="0" shapeId="0" xr:uid="{BE4D367A-C4F8-43C4-BD60-E868897CB37E}">
      <text>
        <r>
          <rPr>
            <b/>
            <sz val="9"/>
            <color indexed="81"/>
            <rFont val="Tahoma"/>
            <family val="2"/>
          </rPr>
          <t>Marae:</t>
        </r>
        <r>
          <rPr>
            <sz val="9"/>
            <color indexed="81"/>
            <rFont val="Tahoma"/>
            <family val="2"/>
          </rPr>
          <t xml:space="preserve">
2000 se producen
1,520 salen 
480 en fisico en planta b</t>
        </r>
      </text>
    </comment>
    <comment ref="E123" authorId="0" shapeId="0" xr:uid="{DC862A15-756D-47B0-B22F-87C577435891}">
      <text>
        <r>
          <rPr>
            <b/>
            <sz val="9"/>
            <color indexed="81"/>
            <rFont val="Tahoma"/>
            <family val="2"/>
          </rPr>
          <t xml:space="preserve">Marae:
</t>
        </r>
        <r>
          <rPr>
            <sz val="9"/>
            <color indexed="81"/>
            <rFont val="Tahoma"/>
            <family val="2"/>
          </rPr>
          <t>920
1000</t>
        </r>
      </text>
    </comment>
    <comment ref="F123" authorId="0" shapeId="0" xr:uid="{C7D3D5DC-09DF-4734-AF9F-E7D535846559}">
      <text>
        <r>
          <rPr>
            <b/>
            <sz val="9"/>
            <color indexed="81"/>
            <rFont val="Tahoma"/>
            <family val="2"/>
          </rPr>
          <t>Marae:</t>
        </r>
        <r>
          <rPr>
            <sz val="9"/>
            <color indexed="81"/>
            <rFont val="Tahoma"/>
            <family val="2"/>
          </rPr>
          <t xml:space="preserve">
1600
1840</t>
        </r>
      </text>
    </comment>
    <comment ref="G123" authorId="0" shapeId="0" xr:uid="{1692DAED-81A0-475C-886B-2BFCACC3B849}">
      <text>
        <r>
          <rPr>
            <b/>
            <sz val="9"/>
            <color indexed="81"/>
            <rFont val="Tahoma"/>
            <family val="2"/>
          </rPr>
          <t>Marae:</t>
        </r>
        <r>
          <rPr>
            <sz val="9"/>
            <color indexed="81"/>
            <rFont val="Tahoma"/>
            <family val="2"/>
          </rPr>
          <t xml:space="preserve">
1400
1660</t>
        </r>
      </text>
    </comment>
    <comment ref="C151" authorId="0" shapeId="0" xr:uid="{24BF3AA3-745A-4024-A122-89C4D628A4E0}">
      <text>
        <r>
          <rPr>
            <b/>
            <sz val="9"/>
            <color indexed="81"/>
            <rFont val="Tahoma"/>
            <family val="2"/>
          </rPr>
          <t>Marae:</t>
        </r>
        <r>
          <rPr>
            <sz val="9"/>
            <color indexed="81"/>
            <rFont val="Tahoma"/>
            <family val="2"/>
          </rPr>
          <t xml:space="preserve">
Incluye Almacen y Otros Gastos</t>
        </r>
      </text>
    </comment>
    <comment ref="C153" authorId="0" shapeId="0" xr:uid="{7A8C8921-E3B5-4C6A-BABC-FE7D6E0BCECA}">
      <text>
        <r>
          <rPr>
            <b/>
            <sz val="9"/>
            <color indexed="81"/>
            <rFont val="Tahoma"/>
            <family val="2"/>
          </rPr>
          <t>Marae:</t>
        </r>
        <r>
          <rPr>
            <sz val="9"/>
            <color indexed="81"/>
            <rFont val="Tahoma"/>
            <family val="2"/>
          </rPr>
          <t xml:space="preserve">
</t>
        </r>
        <r>
          <rPr>
            <b/>
            <sz val="9"/>
            <color indexed="81"/>
            <rFont val="Tahoma"/>
            <family val="2"/>
          </rPr>
          <t>Alm_1</t>
        </r>
        <r>
          <rPr>
            <sz val="9"/>
            <color indexed="81"/>
            <rFont val="Tahoma"/>
            <family val="2"/>
          </rPr>
          <t xml:space="preserve">
Mant. y Rep. Equipo Campo e incluye consumibles y maquinaria</t>
        </r>
      </text>
    </comment>
    <comment ref="C154" authorId="0" shapeId="0" xr:uid="{AC80BAD5-BEE6-42C3-A7C3-A8CB8D0FF3D9}">
      <text>
        <r>
          <rPr>
            <b/>
            <sz val="9"/>
            <color indexed="81"/>
            <rFont val="Tahoma"/>
            <family val="2"/>
          </rPr>
          <t>Marae:</t>
        </r>
        <r>
          <rPr>
            <sz val="9"/>
            <color indexed="81"/>
            <rFont val="Tahoma"/>
            <family val="2"/>
          </rPr>
          <t xml:space="preserve">
Alm_1
Produccion
Otros Gastos</t>
        </r>
      </text>
    </comment>
    <comment ref="D158" authorId="0" shapeId="0" xr:uid="{72AA3943-6BDA-4DC0-8581-6276DEC3FE2B}">
      <text>
        <r>
          <rPr>
            <b/>
            <sz val="9"/>
            <color indexed="81"/>
            <rFont val="Tahoma"/>
            <family val="2"/>
          </rPr>
          <t>Marae:</t>
        </r>
        <r>
          <rPr>
            <sz val="9"/>
            <color indexed="81"/>
            <rFont val="Tahoma"/>
            <family val="2"/>
          </rPr>
          <t xml:space="preserve">
=SI(D16&gt;0,D31/D16,0)</t>
        </r>
      </text>
    </comment>
    <comment ref="C162" authorId="0" shapeId="0" xr:uid="{D977FF44-B2B8-4F07-9376-1503227DC730}">
      <text>
        <r>
          <rPr>
            <b/>
            <sz val="9"/>
            <color indexed="81"/>
            <rFont val="Tahoma"/>
            <family val="2"/>
          </rPr>
          <t>Marae:</t>
        </r>
        <r>
          <rPr>
            <sz val="9"/>
            <color indexed="81"/>
            <rFont val="Tahoma"/>
            <family val="2"/>
          </rPr>
          <t xml:space="preserve">
Incluye Almacen y otros gastos</t>
        </r>
      </text>
    </comment>
    <comment ref="C163" authorId="1" shapeId="0" xr:uid="{31D5DD88-027A-4218-9F3C-49F1B92D0872}">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163" authorId="0" shapeId="0" xr:uid="{C65CAA56-150B-4D79-8138-15DD31AF1A1E}">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165" authorId="0" shapeId="0" xr:uid="{9BFF75FB-AF47-4C12-9AED-0597255FF518}">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C167" authorId="0" shapeId="0" xr:uid="{9EA889F2-4D95-4EC0-9EDB-A6B7B4FB9ED7}">
      <text>
        <r>
          <rPr>
            <b/>
            <sz val="9"/>
            <color indexed="81"/>
            <rFont val="Tahoma"/>
            <family val="2"/>
          </rPr>
          <t>Marae:</t>
        </r>
        <r>
          <rPr>
            <sz val="9"/>
            <color indexed="81"/>
            <rFont val="Tahoma"/>
            <family val="2"/>
          </rPr>
          <t xml:space="preserve">
Garrafas y Etiquetas de Mat. Prima 2023, no se toma el de TD</t>
        </r>
      </text>
    </comment>
    <comment ref="P183" authorId="0" shapeId="0" xr:uid="{0A7623F2-568A-4E44-B86F-5411CE9718C2}">
      <text>
        <r>
          <rPr>
            <b/>
            <sz val="9"/>
            <color indexed="81"/>
            <rFont val="Tahoma"/>
            <family val="2"/>
          </rPr>
          <t>Marae:</t>
        </r>
        <r>
          <rPr>
            <sz val="9"/>
            <color indexed="81"/>
            <rFont val="Tahoma"/>
            <family val="2"/>
          </rPr>
          <t xml:space="preserve">
Se esta considerando las 80,000 de enero 24
11,800 estimado de Feb/24</t>
        </r>
      </text>
    </comment>
    <comment ref="K187" authorId="0" shapeId="0" xr:uid="{A4315F42-49C1-4EF3-87BF-7F09EA72DA33}">
      <text>
        <r>
          <rPr>
            <b/>
            <sz val="9"/>
            <color indexed="81"/>
            <rFont val="Tahoma"/>
            <family val="2"/>
          </rPr>
          <t>Marae:</t>
        </r>
        <r>
          <rPr>
            <sz val="9"/>
            <color indexed="81"/>
            <rFont val="Tahoma"/>
            <family val="2"/>
          </rPr>
          <t xml:space="preserve">
No los tiene Carlos</t>
        </r>
      </text>
    </comment>
    <comment ref="D188" authorId="0" shapeId="0" xr:uid="{F360F5B7-6DCE-4B5F-8133-4A7EBDFB6C1E}">
      <text>
        <r>
          <rPr>
            <b/>
            <sz val="9"/>
            <color indexed="81"/>
            <rFont val="Tahoma"/>
            <family val="2"/>
          </rPr>
          <t>Marae:</t>
        </r>
        <r>
          <rPr>
            <sz val="9"/>
            <color indexed="81"/>
            <rFont val="Tahoma"/>
            <family val="2"/>
          </rPr>
          <t xml:space="preserve">
Carlos solo tiene hasta octubre y con una diferencia de 960 L</t>
        </r>
      </text>
    </comment>
    <comment ref="O188" authorId="0" shapeId="0" xr:uid="{B8A1F1EB-445F-4B11-A82D-173C6DA06800}">
      <text>
        <r>
          <rPr>
            <b/>
            <sz val="9"/>
            <color indexed="81"/>
            <rFont val="Tahoma"/>
            <family val="2"/>
          </rPr>
          <t>Marae:</t>
        </r>
        <r>
          <rPr>
            <sz val="9"/>
            <color indexed="81"/>
            <rFont val="Tahoma"/>
            <family val="2"/>
          </rPr>
          <t xml:space="preserve">
480 de BD
740 de sistema
dejo solo 200 por ajuste libre</t>
        </r>
      </text>
    </comment>
    <comment ref="P188" authorId="0" shapeId="0" xr:uid="{F9DE3F08-A664-4E45-BF38-0C3C30F41E59}">
      <text>
        <r>
          <rPr>
            <b/>
            <sz val="9"/>
            <color indexed="81"/>
            <rFont val="Tahoma"/>
            <family val="2"/>
          </rPr>
          <t>Marae:</t>
        </r>
        <r>
          <rPr>
            <sz val="9"/>
            <color indexed="81"/>
            <rFont val="Tahoma"/>
            <family val="2"/>
          </rPr>
          <t xml:space="preserve">
1,020 de BD
820 de sistema, dejo por ajuste manual
100</t>
        </r>
      </text>
    </comment>
    <comment ref="O191" authorId="0" shapeId="0" xr:uid="{2793889F-2D73-4F36-AD3F-9D5DFF29F0E4}">
      <text>
        <r>
          <rPr>
            <b/>
            <sz val="9"/>
            <color indexed="81"/>
            <rFont val="Tahoma"/>
            <family val="2"/>
          </rPr>
          <t>Marae:</t>
        </r>
        <r>
          <rPr>
            <sz val="9"/>
            <color indexed="81"/>
            <rFont val="Tahoma"/>
            <family val="2"/>
          </rPr>
          <t xml:space="preserve">
BD mia tengo 
29,400 kg</t>
        </r>
      </text>
    </comment>
    <comment ref="E211" authorId="0" shapeId="0" xr:uid="{EAFD97CD-B9D7-485C-8CE1-611D0DCF43E0}">
      <text>
        <r>
          <rPr>
            <b/>
            <sz val="9"/>
            <color indexed="81"/>
            <rFont val="Tahoma"/>
            <family val="2"/>
          </rPr>
          <t>Marae:</t>
        </r>
        <r>
          <rPr>
            <sz val="9"/>
            <color indexed="81"/>
            <rFont val="Tahoma"/>
            <family val="2"/>
          </rPr>
          <t xml:space="preserve">
CFE</t>
        </r>
      </text>
    </comment>
    <comment ref="C212" authorId="0" shapeId="0" xr:uid="{7042F1B6-7F2D-4377-9BD7-BDAD38F4F64A}">
      <text>
        <r>
          <rPr>
            <b/>
            <sz val="9"/>
            <color indexed="81"/>
            <rFont val="Tahoma"/>
            <family val="2"/>
          </rPr>
          <t>Marae:</t>
        </r>
        <r>
          <rPr>
            <sz val="9"/>
            <color indexed="81"/>
            <rFont val="Tahoma"/>
            <family val="2"/>
          </rPr>
          <t xml:space="preserve">
Incluye Almacen y Otros Gastos</t>
        </r>
      </text>
    </comment>
    <comment ref="C213" authorId="0" shapeId="0" xr:uid="{9563528C-9A5F-4E8A-A7FE-ECBA72905C19}">
      <text>
        <r>
          <rPr>
            <b/>
            <sz val="9"/>
            <color indexed="81"/>
            <rFont val="Tahoma"/>
            <family val="2"/>
          </rPr>
          <t>Marae:</t>
        </r>
        <r>
          <rPr>
            <sz val="9"/>
            <color indexed="81"/>
            <rFont val="Tahoma"/>
            <family val="2"/>
          </rPr>
          <t xml:space="preserve">
Incluye Almacen y Otros Gastos</t>
        </r>
      </text>
    </comment>
    <comment ref="C214" authorId="0" shapeId="0" xr:uid="{9ED92FBB-62C4-4E6A-A01F-EB56761E274D}">
      <text>
        <r>
          <rPr>
            <b/>
            <sz val="9"/>
            <color indexed="81"/>
            <rFont val="Tahoma"/>
            <family val="2"/>
          </rPr>
          <t>Marae:</t>
        </r>
        <r>
          <rPr>
            <sz val="9"/>
            <color indexed="81"/>
            <rFont val="Tahoma"/>
            <family val="2"/>
          </rPr>
          <t xml:space="preserve">
Incluye Almacen y Otros Gastos</t>
        </r>
      </text>
    </comment>
    <comment ref="C215" authorId="0" shapeId="0" xr:uid="{CE61AFEC-581F-4F33-905F-7B20BED32723}">
      <text>
        <r>
          <rPr>
            <b/>
            <sz val="9"/>
            <color indexed="81"/>
            <rFont val="Tahoma"/>
            <family val="2"/>
          </rPr>
          <t>Marae:</t>
        </r>
        <r>
          <rPr>
            <sz val="9"/>
            <color indexed="81"/>
            <rFont val="Tahoma"/>
            <family val="2"/>
          </rPr>
          <t xml:space="preserve">
OTROS GASTOS
CFE</t>
        </r>
      </text>
    </comment>
    <comment ref="D220" authorId="0" shapeId="0" xr:uid="{1BCE531A-AF6B-47BC-9D5A-0BDAB15B91F5}">
      <text>
        <r>
          <rPr>
            <b/>
            <sz val="9"/>
            <color indexed="81"/>
            <rFont val="Tahoma"/>
            <family val="2"/>
          </rPr>
          <t>Marae:</t>
        </r>
        <r>
          <rPr>
            <sz val="9"/>
            <color indexed="81"/>
            <rFont val="Tahoma"/>
            <family val="2"/>
          </rPr>
          <t xml:space="preserve">
=SI(D16&gt;0,D31/D16,0)</t>
        </r>
      </text>
    </comment>
    <comment ref="C224" authorId="0" shapeId="0" xr:uid="{701D1234-DDC5-4B06-943A-F332BEA3E99B}">
      <text>
        <r>
          <rPr>
            <b/>
            <sz val="9"/>
            <color indexed="81"/>
            <rFont val="Tahoma"/>
            <family val="2"/>
          </rPr>
          <t>Marae:</t>
        </r>
        <r>
          <rPr>
            <sz val="9"/>
            <color indexed="81"/>
            <rFont val="Tahoma"/>
            <family val="2"/>
          </rPr>
          <t xml:space="preserve">
Incluye Almacen y otros gastos</t>
        </r>
      </text>
    </comment>
    <comment ref="C225" authorId="1" shapeId="0" xr:uid="{C9C6D009-7C7B-4C9D-8500-EA982DFBC0B6}">
      <text>
        <r>
          <rPr>
            <b/>
            <sz val="9"/>
            <color indexed="81"/>
            <rFont val="Tahoma"/>
            <family val="2"/>
          </rPr>
          <t>MC:</t>
        </r>
        <r>
          <rPr>
            <sz val="9"/>
            <color indexed="81"/>
            <rFont val="Tahoma"/>
            <family val="2"/>
          </rPr>
          <t xml:space="preserve">
Sueldo del Gerente de Agroecologia (incluye 2% de imss)
5.0 % Control Biologico
5.0% Apicultura
45.0% Biofertilizantes
45.0% Biorepelentes
DE LA TABLA CB3, EN LIMONES PROVEERDOR QUE INCLUYA 2%IMSS, SEMANAS Y SUELDOS ADMINISTRATIVOS</t>
        </r>
      </text>
    </comment>
    <comment ref="E225" authorId="0" shapeId="0" xr:uid="{A4E1E72B-B3DD-4E54-B9E6-3EF391B8449C}">
      <text>
        <r>
          <rPr>
            <b/>
            <sz val="9"/>
            <color indexed="81"/>
            <rFont val="Tahoma"/>
            <family val="2"/>
          </rPr>
          <t>Marae:</t>
        </r>
        <r>
          <rPr>
            <sz val="9"/>
            <color indexed="81"/>
            <rFont val="Tahoma"/>
            <family val="2"/>
          </rPr>
          <t xml:space="preserve">
El dato semanal x 52 sem, dividido en 12 meses y a su ves dividido:
5.0 % Control Biologico
5.0% Apicultura
45.0% Biofertilizantes
45.0% Biorepelentes</t>
        </r>
      </text>
    </comment>
    <comment ref="C227" authorId="0" shapeId="0" xr:uid="{4CEEB14E-3D6D-4871-B9FF-60A137804E5B}">
      <text>
        <r>
          <rPr>
            <b/>
            <sz val="9"/>
            <color indexed="81"/>
            <rFont val="Tahoma"/>
            <family val="2"/>
          </rPr>
          <t>Marae:</t>
        </r>
        <r>
          <rPr>
            <sz val="9"/>
            <color indexed="81"/>
            <rFont val="Tahoma"/>
            <family val="2"/>
          </rPr>
          <t xml:space="preserve">
De tabla Combustible C132
5.0 % Control Biologico
5.0% Apicultura
45.0% Biofertilizantes
45.0% Biorepelentes
</t>
        </r>
      </text>
    </comment>
    <comment ref="C229" authorId="0" shapeId="0" xr:uid="{2FFAC291-1479-437B-9FD8-876DF619DDA5}">
      <text>
        <r>
          <rPr>
            <b/>
            <sz val="9"/>
            <color indexed="81"/>
            <rFont val="Tahoma"/>
            <family val="2"/>
          </rPr>
          <t>Marae:</t>
        </r>
        <r>
          <rPr>
            <sz val="9"/>
            <color indexed="81"/>
            <rFont val="Tahoma"/>
            <family val="2"/>
          </rPr>
          <t xml:space="preserve">
Garrafas y Etiquetas de Mat. Prima 2023, no se toma el de TD</t>
        </r>
      </text>
    </comment>
    <comment ref="C233" authorId="0" shapeId="0" xr:uid="{C28DE007-D66A-4730-9C11-C94E49CE1B3A}">
      <text>
        <r>
          <rPr>
            <b/>
            <sz val="9"/>
            <color indexed="81"/>
            <rFont val="Tahoma"/>
            <family val="2"/>
          </rPr>
          <t>Marae:</t>
        </r>
        <r>
          <rPr>
            <sz val="9"/>
            <color indexed="81"/>
            <rFont val="Tahoma"/>
            <family val="2"/>
          </rPr>
          <t xml:space="preserve">
Sin insumos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Marae</author>
  </authors>
  <commentList>
    <comment ref="B1" authorId="0" shapeId="0" xr:uid="{2F6BE62B-FD44-44F8-A7BC-539FEAE12CDA}">
      <text>
        <r>
          <rPr>
            <b/>
            <sz val="9"/>
            <color indexed="81"/>
            <rFont val="Tahoma"/>
            <family val="2"/>
          </rPr>
          <t>Marae:</t>
        </r>
        <r>
          <rPr>
            <sz val="9"/>
            <color indexed="81"/>
            <rFont val="Tahoma"/>
            <family val="2"/>
          </rPr>
          <t xml:space="preserve">
9,505.66 Kg enviados a Yucatan, falta cotejar llegada</t>
        </r>
      </text>
    </comment>
    <comment ref="N146" authorId="0" shapeId="0" xr:uid="{4ECD75C5-115E-49BA-ABC0-A49D10E5939D}">
      <text>
        <r>
          <rPr>
            <b/>
            <sz val="9"/>
            <color indexed="81"/>
            <rFont val="Tahoma"/>
            <family val="2"/>
          </rPr>
          <t>Marae:</t>
        </r>
        <r>
          <rPr>
            <sz val="9"/>
            <color indexed="81"/>
            <rFont val="Tahoma"/>
            <family val="2"/>
          </rPr>
          <t xml:space="preserve">
3 bidones de 50 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MC</author>
  </authors>
  <commentList>
    <comment ref="N21" authorId="0" shapeId="0" xr:uid="{328E8A88-9575-49ED-98BD-D53C6D927383}">
      <text>
        <r>
          <rPr>
            <b/>
            <sz val="9"/>
            <color indexed="81"/>
            <rFont val="Tahoma"/>
            <family val="2"/>
          </rPr>
          <t>MC:</t>
        </r>
        <r>
          <rPr>
            <sz val="9"/>
            <color indexed="81"/>
            <rFont val="Tahoma"/>
            <family val="2"/>
          </rPr>
          <t xml:space="preserve">
Tepames 2 8,000
Santa Amalia 6,000
Santa Amalia mx 11,000
Coquimatlan7,800
Coquimatlan 1,800 palmas</t>
        </r>
      </text>
    </comment>
    <comment ref="T21" authorId="0" shapeId="0" xr:uid="{E8BA12C7-A039-4455-8E43-3C55BFAA0E42}">
      <text>
        <r>
          <rPr>
            <b/>
            <sz val="9"/>
            <color indexed="81"/>
            <rFont val="Tahoma"/>
            <family val="2"/>
          </rPr>
          <t>MC:</t>
        </r>
        <r>
          <rPr>
            <sz val="9"/>
            <color indexed="81"/>
            <rFont val="Tahoma"/>
            <family val="2"/>
          </rPr>
          <t xml:space="preserve">
Leo 1, 3,000
San Fco 4,000
San Jorge 2,000
Pampas 1,500
Pampas 2 plantilla de 3 años
14,000 (357 arb/ha 40 Ha)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Marae</author>
    <author>MC</author>
    <author>Autor</author>
  </authors>
  <commentList>
    <comment ref="Q3" authorId="0" shapeId="0" xr:uid="{78B3A06A-E3BD-4009-90D8-AB24B49356B9}">
      <text>
        <r>
          <rPr>
            <b/>
            <sz val="9"/>
            <color indexed="81"/>
            <rFont val="Tahoma"/>
            <family val="2"/>
          </rPr>
          <t>Marae:</t>
        </r>
        <r>
          <rPr>
            <sz val="9"/>
            <color indexed="81"/>
            <rFont val="Tahoma"/>
            <family val="2"/>
          </rPr>
          <t xml:space="preserve">
DE ARCHIVO CARLOS</t>
        </r>
      </text>
    </comment>
    <comment ref="M5" authorId="0" shapeId="0" xr:uid="{C5C09BD4-C1A7-4708-8AA4-BCF5158B35AB}">
      <text>
        <r>
          <rPr>
            <b/>
            <sz val="9"/>
            <color indexed="81"/>
            <rFont val="Tahoma"/>
            <family val="2"/>
          </rPr>
          <t>Marae:</t>
        </r>
        <r>
          <rPr>
            <sz val="9"/>
            <color indexed="81"/>
            <rFont val="Tahoma"/>
            <family val="2"/>
          </rPr>
          <t xml:space="preserve">
DE ARCHIVO CARLOS</t>
        </r>
      </text>
    </comment>
    <comment ref="O7" authorId="0" shapeId="0" xr:uid="{9A2AACF9-0788-46A2-92CF-58B1FDB32B44}">
      <text>
        <r>
          <rPr>
            <b/>
            <sz val="9"/>
            <color indexed="81"/>
            <rFont val="Tahoma"/>
            <family val="2"/>
          </rPr>
          <t>Marae:</t>
        </r>
        <r>
          <rPr>
            <sz val="9"/>
            <color indexed="81"/>
            <rFont val="Tahoma"/>
            <family val="2"/>
          </rPr>
          <t xml:space="preserve">
DE ARCHIVO CARLOS</t>
        </r>
      </text>
    </comment>
    <comment ref="L8" authorId="0" shapeId="0" xr:uid="{F5C1946B-AEAE-4BC4-B7D6-00FD5B2DC9B7}">
      <text>
        <r>
          <rPr>
            <b/>
            <sz val="9"/>
            <color indexed="81"/>
            <rFont val="Tahoma"/>
            <family val="2"/>
          </rPr>
          <t>Marae:</t>
        </r>
        <r>
          <rPr>
            <sz val="9"/>
            <color indexed="81"/>
            <rFont val="Tahoma"/>
            <family val="2"/>
          </rPr>
          <t xml:space="preserve">
S/cobro</t>
        </r>
      </text>
    </comment>
    <comment ref="M10" authorId="0" shapeId="0" xr:uid="{3CB1B2CF-56DC-42D0-B1B3-284BC08E5626}">
      <text>
        <r>
          <rPr>
            <b/>
            <sz val="9"/>
            <color indexed="81"/>
            <rFont val="Tahoma"/>
            <family val="2"/>
          </rPr>
          <t>Marae:</t>
        </r>
        <r>
          <rPr>
            <sz val="9"/>
            <color indexed="81"/>
            <rFont val="Tahoma"/>
            <family val="2"/>
          </rPr>
          <t xml:space="preserve">
DE ARCHIVO CARLOS</t>
        </r>
      </text>
    </comment>
    <comment ref="M12" authorId="0" shapeId="0" xr:uid="{E05C363B-1E9D-4281-9500-B092FA501C35}">
      <text>
        <r>
          <rPr>
            <b/>
            <sz val="9"/>
            <color indexed="81"/>
            <rFont val="Tahoma"/>
            <family val="2"/>
          </rPr>
          <t>Marae:</t>
        </r>
        <r>
          <rPr>
            <sz val="9"/>
            <color indexed="81"/>
            <rFont val="Tahoma"/>
            <family val="2"/>
          </rPr>
          <t xml:space="preserve">
De sistema Almacen</t>
        </r>
      </text>
    </comment>
    <comment ref="M13" authorId="0" shapeId="0" xr:uid="{E5E9CC6C-4D1D-4A49-B118-F515B7F87FC3}">
      <text>
        <r>
          <rPr>
            <b/>
            <sz val="9"/>
            <color indexed="81"/>
            <rFont val="Tahoma"/>
            <family val="2"/>
          </rPr>
          <t>Marae:</t>
        </r>
        <r>
          <rPr>
            <sz val="9"/>
            <color indexed="81"/>
            <rFont val="Tahoma"/>
            <family val="2"/>
          </rPr>
          <t xml:space="preserve">
DE ARCHIVO CARLOS</t>
        </r>
      </text>
    </comment>
    <comment ref="I20" authorId="0" shapeId="0" xr:uid="{05119D94-31A3-4E74-B9F2-B18D67E29860}">
      <text>
        <r>
          <rPr>
            <b/>
            <sz val="9"/>
            <color indexed="81"/>
            <rFont val="Tahoma"/>
            <family val="2"/>
          </rPr>
          <t>Marae:</t>
        </r>
        <r>
          <rPr>
            <sz val="9"/>
            <color indexed="81"/>
            <rFont val="Tahoma"/>
            <family val="2"/>
          </rPr>
          <t xml:space="preserve">
1000 L</t>
        </r>
      </text>
    </comment>
    <comment ref="J20" authorId="1" shapeId="0" xr:uid="{E7F05BF6-FA59-4221-B09C-AC0A61F0C35E}">
      <text>
        <r>
          <rPr>
            <b/>
            <sz val="9"/>
            <color indexed="81"/>
            <rFont val="Tahoma"/>
            <family val="2"/>
          </rPr>
          <t>MC:</t>
        </r>
        <r>
          <rPr>
            <sz val="9"/>
            <color indexed="81"/>
            <rFont val="Tahoma"/>
            <family val="2"/>
          </rPr>
          <t xml:space="preserve">
Precio Venta</t>
        </r>
      </text>
    </comment>
    <comment ref="H29" authorId="2" shapeId="0" xr:uid="{F33E75F7-5B42-465D-A3AE-DC992B538B22}">
      <text>
        <r>
          <rPr>
            <b/>
            <sz val="9"/>
            <color indexed="81"/>
            <rFont val="Tahoma"/>
            <family val="2"/>
          </rPr>
          <t>Autor:</t>
        </r>
        <r>
          <rPr>
            <sz val="9"/>
            <color indexed="81"/>
            <rFont val="Tahoma"/>
            <family val="2"/>
          </rPr>
          <t xml:space="preserve">
[12:61:00]
</t>
        </r>
      </text>
    </comment>
    <comment ref="M29" authorId="0" shapeId="0" xr:uid="{90B15C3F-6F05-4FD0-B1FF-34AD6509E7D7}">
      <text>
        <r>
          <rPr>
            <b/>
            <sz val="9"/>
            <color indexed="81"/>
            <rFont val="Tahoma"/>
            <family val="2"/>
          </rPr>
          <t>Marae:</t>
        </r>
        <r>
          <rPr>
            <sz val="9"/>
            <color indexed="81"/>
            <rFont val="Tahoma"/>
            <family val="2"/>
          </rPr>
          <t xml:space="preserve">
Aun se usaba DAP
!750/100
$17.5/KG DAP</t>
        </r>
      </text>
    </comment>
    <comment ref="I38" authorId="0" shapeId="0" xr:uid="{F89E57F1-9C3A-4FA5-94D9-DC4F6D40B198}">
      <text>
        <r>
          <rPr>
            <b/>
            <sz val="9"/>
            <color indexed="81"/>
            <rFont val="Tahoma"/>
            <family val="2"/>
          </rPr>
          <t>Marae:</t>
        </r>
        <r>
          <rPr>
            <sz val="9"/>
            <color indexed="81"/>
            <rFont val="Tahoma"/>
            <family val="2"/>
          </rPr>
          <t xml:space="preserve">
En la formulacion de MRF se emplea el NaOH al 70% esto es 71.4 kg/100 L por lo tanto la densidad es de 1kg = 1.4 L o
1 L = 0.714 kg</t>
        </r>
      </text>
    </comment>
    <comment ref="M38" authorId="0" shapeId="0" xr:uid="{D223A955-AB60-4D46-B616-B505F8C93150}">
      <text>
        <r>
          <rPr>
            <b/>
            <sz val="9"/>
            <color indexed="81"/>
            <rFont val="Tahoma"/>
            <family val="2"/>
          </rPr>
          <t>Marae:</t>
        </r>
        <r>
          <rPr>
            <sz val="9"/>
            <color indexed="81"/>
            <rFont val="Tahoma"/>
            <family val="2"/>
          </rPr>
          <t xml:space="preserve">
71.4 KG/100 L KOH al 70%</t>
        </r>
      </text>
    </comment>
    <comment ref="M39" authorId="0" shapeId="0" xr:uid="{28D47CFD-4C68-4B0C-9622-58776393F57E}">
      <text>
        <r>
          <rPr>
            <b/>
            <sz val="9"/>
            <color indexed="81"/>
            <rFont val="Tahoma"/>
            <family val="2"/>
          </rPr>
          <t>Marae:</t>
        </r>
        <r>
          <rPr>
            <sz val="9"/>
            <color indexed="81"/>
            <rFont val="Tahoma"/>
            <family val="2"/>
          </rPr>
          <t xml:space="preserve">
Lote adquirido 2022</t>
        </r>
      </text>
    </comment>
    <comment ref="I42" authorId="0" shapeId="0" xr:uid="{1D046F48-1ABD-4253-A050-2269967DE4EA}">
      <text>
        <r>
          <rPr>
            <b/>
            <sz val="9"/>
            <color indexed="81"/>
            <rFont val="Tahoma"/>
            <family val="2"/>
          </rPr>
          <t>Marae:</t>
        </r>
        <r>
          <rPr>
            <sz val="9"/>
            <color indexed="81"/>
            <rFont val="Tahoma"/>
            <family val="2"/>
          </rPr>
          <t xml:space="preserve">
1000 L</t>
        </r>
      </text>
    </comment>
    <comment ref="J42" authorId="1" shapeId="0" xr:uid="{6481F371-8007-42DF-851A-A3ADC464AC91}">
      <text>
        <r>
          <rPr>
            <b/>
            <sz val="9"/>
            <color indexed="81"/>
            <rFont val="Tahoma"/>
            <family val="2"/>
          </rPr>
          <t>MC:</t>
        </r>
        <r>
          <rPr>
            <sz val="9"/>
            <color indexed="81"/>
            <rFont val="Tahoma"/>
            <family val="2"/>
          </rPr>
          <t xml:space="preserve">
Precio Venta</t>
        </r>
      </text>
    </comment>
    <comment ref="I51" authorId="0" shapeId="0" xr:uid="{8C89548A-7654-4BB1-A503-7B09A5BE6597}">
      <text>
        <r>
          <rPr>
            <b/>
            <sz val="9"/>
            <color indexed="81"/>
            <rFont val="Tahoma"/>
            <family val="2"/>
          </rPr>
          <t>Marae:</t>
        </r>
        <r>
          <rPr>
            <sz val="9"/>
            <color indexed="81"/>
            <rFont val="Tahoma"/>
            <family val="2"/>
          </rPr>
          <t xml:space="preserve">
1000 L</t>
        </r>
      </text>
    </comment>
    <comment ref="J51" authorId="1" shapeId="0" xr:uid="{FDBCF1BC-6BF0-4B1A-83F5-F19BA86873DD}">
      <text>
        <r>
          <rPr>
            <b/>
            <sz val="9"/>
            <color indexed="81"/>
            <rFont val="Tahoma"/>
            <family val="2"/>
          </rPr>
          <t>MC:</t>
        </r>
        <r>
          <rPr>
            <sz val="9"/>
            <color indexed="81"/>
            <rFont val="Tahoma"/>
            <family val="2"/>
          </rPr>
          <t xml:space="preserve">
Precio Venta</t>
        </r>
      </text>
    </comment>
    <comment ref="I57" authorId="0" shapeId="0" xr:uid="{8E29AF83-C998-4C50-98E8-5BF33CFEE875}">
      <text>
        <r>
          <rPr>
            <b/>
            <sz val="9"/>
            <color indexed="81"/>
            <rFont val="Tahoma"/>
            <family val="2"/>
          </rPr>
          <t>Marae:</t>
        </r>
        <r>
          <rPr>
            <sz val="9"/>
            <color indexed="81"/>
            <rFont val="Tahoma"/>
            <family val="2"/>
          </rPr>
          <t xml:space="preserve">
1000 L</t>
        </r>
      </text>
    </comment>
    <comment ref="J57" authorId="1" shapeId="0" xr:uid="{BD6D078B-CE47-4310-942D-377967AE0781}">
      <text>
        <r>
          <rPr>
            <b/>
            <sz val="9"/>
            <color indexed="81"/>
            <rFont val="Tahoma"/>
            <family val="2"/>
          </rPr>
          <t>MC:</t>
        </r>
        <r>
          <rPr>
            <sz val="9"/>
            <color indexed="81"/>
            <rFont val="Tahoma"/>
            <family val="2"/>
          </rPr>
          <t xml:space="preserve">
Precio Venta</t>
        </r>
      </text>
    </comment>
    <comment ref="J71" authorId="0" shapeId="0" xr:uid="{89C45C36-AE1F-4FBD-9AB7-C1DD6B05E10C}">
      <text>
        <r>
          <rPr>
            <b/>
            <sz val="9"/>
            <color indexed="81"/>
            <rFont val="Tahoma"/>
            <family val="2"/>
          </rPr>
          <t>Marae:</t>
        </r>
        <r>
          <rPr>
            <sz val="9"/>
            <color indexed="81"/>
            <rFont val="Tahoma"/>
            <family val="2"/>
          </rPr>
          <t xml:space="preserve">
</t>
        </r>
      </text>
    </comment>
    <comment ref="J77" authorId="0" shapeId="0" xr:uid="{625FB399-2ACD-4AD6-BF32-A2D1BC1E0F03}">
      <text>
        <r>
          <rPr>
            <b/>
            <sz val="9"/>
            <color indexed="81"/>
            <rFont val="Tahoma"/>
            <family val="2"/>
          </rPr>
          <t>Marae:</t>
        </r>
        <r>
          <rPr>
            <sz val="9"/>
            <color indexed="81"/>
            <rFont val="Tahoma"/>
            <family val="2"/>
          </rPr>
          <t xml:space="preserve">
1.2</t>
        </r>
      </text>
    </comment>
    <comment ref="I84" authorId="0" shapeId="0" xr:uid="{F48B1D6D-570B-47C9-8D0A-B3FC1C209A38}">
      <text>
        <r>
          <rPr>
            <b/>
            <sz val="9"/>
            <color indexed="81"/>
            <rFont val="Tahoma"/>
            <family val="2"/>
          </rPr>
          <t>Marae:</t>
        </r>
        <r>
          <rPr>
            <sz val="9"/>
            <color indexed="81"/>
            <rFont val="Tahoma"/>
            <family val="2"/>
          </rPr>
          <t xml:space="preserve">
1000 L</t>
        </r>
      </text>
    </comment>
    <comment ref="J84" authorId="1" shapeId="0" xr:uid="{994CD879-AC2E-4726-B7D1-9A31C6858409}">
      <text>
        <r>
          <rPr>
            <b/>
            <sz val="9"/>
            <color indexed="81"/>
            <rFont val="Tahoma"/>
            <family val="2"/>
          </rPr>
          <t>MC:</t>
        </r>
        <r>
          <rPr>
            <sz val="9"/>
            <color indexed="81"/>
            <rFont val="Tahoma"/>
            <family val="2"/>
          </rPr>
          <t xml:space="preserve">
Precio Venta</t>
        </r>
      </text>
    </comment>
    <comment ref="M88" authorId="0" shapeId="0" xr:uid="{9D104834-0634-49C9-8E20-CB348942A6D2}">
      <text>
        <r>
          <rPr>
            <b/>
            <sz val="9"/>
            <color indexed="81"/>
            <rFont val="Tahoma"/>
            <family val="2"/>
          </rPr>
          <t>Marae:</t>
        </r>
        <r>
          <rPr>
            <sz val="9"/>
            <color indexed="81"/>
            <rFont val="Tahoma"/>
            <family val="2"/>
          </rPr>
          <t xml:space="preserve">
=$10.0/PZ</t>
        </r>
      </text>
    </comment>
    <comment ref="M91" authorId="0" shapeId="0" xr:uid="{FD9E6B58-326C-4CF8-88F2-CEF0876424A4}">
      <text>
        <r>
          <rPr>
            <b/>
            <sz val="9"/>
            <color indexed="81"/>
            <rFont val="Tahoma"/>
            <family val="2"/>
          </rPr>
          <t>Marae:</t>
        </r>
        <r>
          <rPr>
            <sz val="9"/>
            <color indexed="81"/>
            <rFont val="Tahoma"/>
            <family val="2"/>
          </rPr>
          <t xml:space="preserve">
Minimo Litros anuales
tenia 14,400 lo subi a 15,000
=((19000*1.16)+(4500*17.5))/15000</t>
        </r>
      </text>
    </comment>
    <comment ref="M94" authorId="0" shapeId="0" xr:uid="{17DD9C36-FF0B-4D11-A254-5246E3200F2E}">
      <text>
        <r>
          <rPr>
            <b/>
            <sz val="9"/>
            <color indexed="81"/>
            <rFont val="Tahoma"/>
            <family val="2"/>
          </rPr>
          <t>Marae:</t>
        </r>
        <r>
          <rPr>
            <sz val="9"/>
            <color indexed="81"/>
            <rFont val="Tahoma"/>
            <family val="2"/>
          </rPr>
          <t xml:space="preserve">
=113*1.16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Marae</author>
    <author>MC</author>
    <author>Autor</author>
  </authors>
  <commentList>
    <comment ref="Q3" authorId="0" shapeId="0" xr:uid="{90E9573F-24D9-4EF9-9581-4507601FF9D0}">
      <text>
        <r>
          <rPr>
            <b/>
            <sz val="9"/>
            <color indexed="81"/>
            <rFont val="Tahoma"/>
            <family val="2"/>
          </rPr>
          <t>Marae:</t>
        </r>
        <r>
          <rPr>
            <sz val="9"/>
            <color indexed="81"/>
            <rFont val="Tahoma"/>
            <family val="2"/>
          </rPr>
          <t xml:space="preserve">
DE ARCHIVO CARLOS</t>
        </r>
      </text>
    </comment>
    <comment ref="M5" authorId="0" shapeId="0" xr:uid="{96E73254-AEBF-439A-982B-B58458C244C5}">
      <text>
        <r>
          <rPr>
            <b/>
            <sz val="9"/>
            <color indexed="81"/>
            <rFont val="Tahoma"/>
            <family val="2"/>
          </rPr>
          <t>Marae:</t>
        </r>
        <r>
          <rPr>
            <sz val="9"/>
            <color indexed="81"/>
            <rFont val="Tahoma"/>
            <family val="2"/>
          </rPr>
          <t xml:space="preserve">
DE ARCHIVO CARLOS</t>
        </r>
      </text>
    </comment>
    <comment ref="O7" authorId="0" shapeId="0" xr:uid="{7218FB18-EF51-4194-A198-788E430ACECA}">
      <text>
        <r>
          <rPr>
            <b/>
            <sz val="9"/>
            <color indexed="81"/>
            <rFont val="Tahoma"/>
            <family val="2"/>
          </rPr>
          <t>Marae:</t>
        </r>
        <r>
          <rPr>
            <sz val="9"/>
            <color indexed="81"/>
            <rFont val="Tahoma"/>
            <family val="2"/>
          </rPr>
          <t xml:space="preserve">
DE ARCHIVO CARLOS</t>
        </r>
      </text>
    </comment>
    <comment ref="L8" authorId="0" shapeId="0" xr:uid="{283FA76A-BA13-4D6C-B3EB-2E39B4900366}">
      <text>
        <r>
          <rPr>
            <b/>
            <sz val="9"/>
            <color indexed="81"/>
            <rFont val="Tahoma"/>
            <family val="2"/>
          </rPr>
          <t>Marae:</t>
        </r>
        <r>
          <rPr>
            <sz val="9"/>
            <color indexed="81"/>
            <rFont val="Tahoma"/>
            <family val="2"/>
          </rPr>
          <t xml:space="preserve">
S/cobro</t>
        </r>
      </text>
    </comment>
    <comment ref="M10" authorId="0" shapeId="0" xr:uid="{BBC7D7AE-B0BD-4423-89CE-57BEC35CA5C0}">
      <text>
        <r>
          <rPr>
            <b/>
            <sz val="9"/>
            <color indexed="81"/>
            <rFont val="Tahoma"/>
            <family val="2"/>
          </rPr>
          <t>Marae:</t>
        </r>
        <r>
          <rPr>
            <sz val="9"/>
            <color indexed="81"/>
            <rFont val="Tahoma"/>
            <family val="2"/>
          </rPr>
          <t xml:space="preserve">
DE ARCHIVO CARLOS</t>
        </r>
      </text>
    </comment>
    <comment ref="M12" authorId="0" shapeId="0" xr:uid="{89BAA926-3778-4AF8-870E-9AF15663CC6C}">
      <text>
        <r>
          <rPr>
            <b/>
            <sz val="9"/>
            <color indexed="81"/>
            <rFont val="Tahoma"/>
            <family val="2"/>
          </rPr>
          <t>Marae:</t>
        </r>
        <r>
          <rPr>
            <sz val="9"/>
            <color indexed="81"/>
            <rFont val="Tahoma"/>
            <family val="2"/>
          </rPr>
          <t xml:space="preserve">
De sistema Almacen</t>
        </r>
      </text>
    </comment>
    <comment ref="M13" authorId="0" shapeId="0" xr:uid="{0F8F45AF-D098-4D17-A20F-4ABDE70653B9}">
      <text>
        <r>
          <rPr>
            <b/>
            <sz val="9"/>
            <color indexed="81"/>
            <rFont val="Tahoma"/>
            <family val="2"/>
          </rPr>
          <t>Marae:</t>
        </r>
        <r>
          <rPr>
            <sz val="9"/>
            <color indexed="81"/>
            <rFont val="Tahoma"/>
            <family val="2"/>
          </rPr>
          <t xml:space="preserve">
DE ARCHIVO CARLOS</t>
        </r>
      </text>
    </comment>
    <comment ref="I20" authorId="0" shapeId="0" xr:uid="{2F2769EA-FFFE-413F-B78B-17D41B60635F}">
      <text>
        <r>
          <rPr>
            <b/>
            <sz val="9"/>
            <color indexed="81"/>
            <rFont val="Tahoma"/>
            <family val="2"/>
          </rPr>
          <t>Marae:</t>
        </r>
        <r>
          <rPr>
            <sz val="9"/>
            <color indexed="81"/>
            <rFont val="Tahoma"/>
            <family val="2"/>
          </rPr>
          <t xml:space="preserve">
1000 L</t>
        </r>
      </text>
    </comment>
    <comment ref="J20" authorId="1" shapeId="0" xr:uid="{4717A054-DA32-456B-8646-3C847983632F}">
      <text>
        <r>
          <rPr>
            <b/>
            <sz val="9"/>
            <color indexed="81"/>
            <rFont val="Tahoma"/>
            <family val="2"/>
          </rPr>
          <t>MC:</t>
        </r>
        <r>
          <rPr>
            <sz val="9"/>
            <color indexed="81"/>
            <rFont val="Tahoma"/>
            <family val="2"/>
          </rPr>
          <t xml:space="preserve">
Precio Venta</t>
        </r>
      </text>
    </comment>
    <comment ref="H29" authorId="2" shapeId="0" xr:uid="{0851A815-E58B-48B8-8029-60E07EFCE7DF}">
      <text>
        <r>
          <rPr>
            <b/>
            <sz val="9"/>
            <color indexed="81"/>
            <rFont val="Tahoma"/>
            <family val="2"/>
          </rPr>
          <t>Autor:</t>
        </r>
        <r>
          <rPr>
            <sz val="9"/>
            <color indexed="81"/>
            <rFont val="Tahoma"/>
            <family val="2"/>
          </rPr>
          <t xml:space="preserve">
[12:61:00]
</t>
        </r>
      </text>
    </comment>
    <comment ref="M29" authorId="0" shapeId="0" xr:uid="{19DF9705-4831-4E0B-AC9F-835B6BB66F11}">
      <text>
        <r>
          <rPr>
            <b/>
            <sz val="9"/>
            <color indexed="81"/>
            <rFont val="Tahoma"/>
            <family val="2"/>
          </rPr>
          <t>Marae:</t>
        </r>
        <r>
          <rPr>
            <sz val="9"/>
            <color indexed="81"/>
            <rFont val="Tahoma"/>
            <family val="2"/>
          </rPr>
          <t xml:space="preserve">
Aun se usaba DAP
!750/100
$17.5/KG DAP</t>
        </r>
      </text>
    </comment>
    <comment ref="I38" authorId="0" shapeId="0" xr:uid="{97802CE6-0CD9-4DDC-88DD-39A8B7E165AE}">
      <text>
        <r>
          <rPr>
            <b/>
            <sz val="9"/>
            <color indexed="81"/>
            <rFont val="Tahoma"/>
            <family val="2"/>
          </rPr>
          <t>Marae:</t>
        </r>
        <r>
          <rPr>
            <sz val="9"/>
            <color indexed="81"/>
            <rFont val="Tahoma"/>
            <family val="2"/>
          </rPr>
          <t xml:space="preserve">
En la formulacion de MRF se emplea el NaOH al 70% esto es 71.4 kg/100 L por lo tanto la densidad es de 1kg = 1.4 L o
1 L = 0.714 kg</t>
        </r>
      </text>
    </comment>
    <comment ref="M38" authorId="0" shapeId="0" xr:uid="{034D34B1-01F3-4FAB-A6D5-ED9747CD545B}">
      <text>
        <r>
          <rPr>
            <b/>
            <sz val="9"/>
            <color indexed="81"/>
            <rFont val="Tahoma"/>
            <family val="2"/>
          </rPr>
          <t>Marae:</t>
        </r>
        <r>
          <rPr>
            <sz val="9"/>
            <color indexed="81"/>
            <rFont val="Tahoma"/>
            <family val="2"/>
          </rPr>
          <t xml:space="preserve">
71.4 KG/100 L KOH al 70%</t>
        </r>
      </text>
    </comment>
    <comment ref="M39" authorId="0" shapeId="0" xr:uid="{E4854C53-F666-4AEA-B652-CF6590D6AEBE}">
      <text>
        <r>
          <rPr>
            <b/>
            <sz val="9"/>
            <color indexed="81"/>
            <rFont val="Tahoma"/>
            <family val="2"/>
          </rPr>
          <t>Marae:</t>
        </r>
        <r>
          <rPr>
            <sz val="9"/>
            <color indexed="81"/>
            <rFont val="Tahoma"/>
            <family val="2"/>
          </rPr>
          <t xml:space="preserve">
Lote adquirido 2022</t>
        </r>
      </text>
    </comment>
    <comment ref="I42" authorId="0" shapeId="0" xr:uid="{F154B028-A903-41C8-BA97-BCC6EFCC5CE9}">
      <text>
        <r>
          <rPr>
            <b/>
            <sz val="9"/>
            <color indexed="81"/>
            <rFont val="Tahoma"/>
            <family val="2"/>
          </rPr>
          <t>Marae:</t>
        </r>
        <r>
          <rPr>
            <sz val="9"/>
            <color indexed="81"/>
            <rFont val="Tahoma"/>
            <family val="2"/>
          </rPr>
          <t xml:space="preserve">
1000 L</t>
        </r>
      </text>
    </comment>
    <comment ref="J42" authorId="1" shapeId="0" xr:uid="{93218011-43D0-4720-81F2-1F099AA2FBB1}">
      <text>
        <r>
          <rPr>
            <b/>
            <sz val="9"/>
            <color indexed="81"/>
            <rFont val="Tahoma"/>
            <family val="2"/>
          </rPr>
          <t>MC:</t>
        </r>
        <r>
          <rPr>
            <sz val="9"/>
            <color indexed="81"/>
            <rFont val="Tahoma"/>
            <family val="2"/>
          </rPr>
          <t xml:space="preserve">
Precio Venta</t>
        </r>
      </text>
    </comment>
    <comment ref="I52" authorId="0" shapeId="0" xr:uid="{820580BE-84C4-42EF-B2C6-3431DCC71BB0}">
      <text>
        <r>
          <rPr>
            <b/>
            <sz val="9"/>
            <color indexed="81"/>
            <rFont val="Tahoma"/>
            <family val="2"/>
          </rPr>
          <t>Marae:</t>
        </r>
        <r>
          <rPr>
            <sz val="9"/>
            <color indexed="81"/>
            <rFont val="Tahoma"/>
            <family val="2"/>
          </rPr>
          <t xml:space="preserve">
1000 L</t>
        </r>
      </text>
    </comment>
    <comment ref="J52" authorId="1" shapeId="0" xr:uid="{B3C45652-A576-47F9-9574-79657FCCD5CF}">
      <text>
        <r>
          <rPr>
            <b/>
            <sz val="9"/>
            <color indexed="81"/>
            <rFont val="Tahoma"/>
            <family val="2"/>
          </rPr>
          <t>MC:</t>
        </r>
        <r>
          <rPr>
            <sz val="9"/>
            <color indexed="81"/>
            <rFont val="Tahoma"/>
            <family val="2"/>
          </rPr>
          <t xml:space="preserve">
Precio Venta</t>
        </r>
      </text>
    </comment>
    <comment ref="I61" authorId="0" shapeId="0" xr:uid="{686EDC67-D89F-4AF4-A6A8-0B08C2E34701}">
      <text>
        <r>
          <rPr>
            <b/>
            <sz val="9"/>
            <color indexed="81"/>
            <rFont val="Tahoma"/>
            <family val="2"/>
          </rPr>
          <t>Marae:</t>
        </r>
        <r>
          <rPr>
            <sz val="9"/>
            <color indexed="81"/>
            <rFont val="Tahoma"/>
            <family val="2"/>
          </rPr>
          <t xml:space="preserve">
1000 L</t>
        </r>
      </text>
    </comment>
    <comment ref="J61" authorId="1" shapeId="0" xr:uid="{62B9E625-F3E2-4E33-831A-A77C74B6B778}">
      <text>
        <r>
          <rPr>
            <b/>
            <sz val="9"/>
            <color indexed="81"/>
            <rFont val="Tahoma"/>
            <family val="2"/>
          </rPr>
          <t>MC:</t>
        </r>
        <r>
          <rPr>
            <sz val="9"/>
            <color indexed="81"/>
            <rFont val="Tahoma"/>
            <family val="2"/>
          </rPr>
          <t xml:space="preserve">
Precio Venta</t>
        </r>
      </text>
    </comment>
    <comment ref="I67" authorId="0" shapeId="0" xr:uid="{EAE4A836-DDBB-4C54-AFD3-9B413EF68B40}">
      <text>
        <r>
          <rPr>
            <b/>
            <sz val="9"/>
            <color indexed="81"/>
            <rFont val="Tahoma"/>
            <family val="2"/>
          </rPr>
          <t>Marae:</t>
        </r>
        <r>
          <rPr>
            <sz val="9"/>
            <color indexed="81"/>
            <rFont val="Tahoma"/>
            <family val="2"/>
          </rPr>
          <t xml:space="preserve">
1000 L</t>
        </r>
      </text>
    </comment>
    <comment ref="J67" authorId="1" shapeId="0" xr:uid="{ECF12126-5BA3-4987-8E46-58351ABC0045}">
      <text>
        <r>
          <rPr>
            <b/>
            <sz val="9"/>
            <color indexed="81"/>
            <rFont val="Tahoma"/>
            <family val="2"/>
          </rPr>
          <t>MC:</t>
        </r>
        <r>
          <rPr>
            <sz val="9"/>
            <color indexed="81"/>
            <rFont val="Tahoma"/>
            <family val="2"/>
          </rPr>
          <t xml:space="preserve">
Precio Venta</t>
        </r>
      </text>
    </comment>
    <comment ref="J82" authorId="0" shapeId="0" xr:uid="{E3F7F606-A207-4D2C-A289-217FD72C11A2}">
      <text>
        <r>
          <rPr>
            <b/>
            <sz val="9"/>
            <color indexed="81"/>
            <rFont val="Tahoma"/>
            <family val="2"/>
          </rPr>
          <t>Marae:</t>
        </r>
        <r>
          <rPr>
            <sz val="9"/>
            <color indexed="81"/>
            <rFont val="Tahoma"/>
            <family val="2"/>
          </rPr>
          <t xml:space="preserve">
</t>
        </r>
      </text>
    </comment>
    <comment ref="J89" authorId="0" shapeId="0" xr:uid="{B12AAEE0-EF11-420C-B1AC-CD3D3FFF69C6}">
      <text>
        <r>
          <rPr>
            <b/>
            <sz val="9"/>
            <color indexed="81"/>
            <rFont val="Tahoma"/>
            <family val="2"/>
          </rPr>
          <t>Marae:</t>
        </r>
        <r>
          <rPr>
            <sz val="9"/>
            <color indexed="81"/>
            <rFont val="Tahoma"/>
            <family val="2"/>
          </rPr>
          <t xml:space="preserve">
1.2</t>
        </r>
      </text>
    </comment>
    <comment ref="I96" authorId="0" shapeId="0" xr:uid="{092D9432-8AE2-4C8C-9D0C-075716A596F4}">
      <text>
        <r>
          <rPr>
            <b/>
            <sz val="9"/>
            <color indexed="81"/>
            <rFont val="Tahoma"/>
            <family val="2"/>
          </rPr>
          <t>Marae:</t>
        </r>
        <r>
          <rPr>
            <sz val="9"/>
            <color indexed="81"/>
            <rFont val="Tahoma"/>
            <family val="2"/>
          </rPr>
          <t xml:space="preserve">
1000 L</t>
        </r>
      </text>
    </comment>
    <comment ref="J96" authorId="1" shapeId="0" xr:uid="{19E499DE-0FF7-4419-9E9F-0A246EE37B6E}">
      <text>
        <r>
          <rPr>
            <b/>
            <sz val="9"/>
            <color indexed="81"/>
            <rFont val="Tahoma"/>
            <family val="2"/>
          </rPr>
          <t>MC:</t>
        </r>
        <r>
          <rPr>
            <sz val="9"/>
            <color indexed="81"/>
            <rFont val="Tahoma"/>
            <family val="2"/>
          </rPr>
          <t xml:space="preserve">
Precio Venta</t>
        </r>
      </text>
    </comment>
    <comment ref="M100" authorId="0" shapeId="0" xr:uid="{9B505343-84E3-4FFE-93CF-A489A66A1FAC}">
      <text>
        <r>
          <rPr>
            <b/>
            <sz val="9"/>
            <color indexed="81"/>
            <rFont val="Tahoma"/>
            <family val="2"/>
          </rPr>
          <t>Marae:</t>
        </r>
        <r>
          <rPr>
            <sz val="9"/>
            <color indexed="81"/>
            <rFont val="Tahoma"/>
            <family val="2"/>
          </rPr>
          <t xml:space="preserve">
=$10.0/PZ</t>
        </r>
      </text>
    </comment>
    <comment ref="M103" authorId="0" shapeId="0" xr:uid="{953E93BA-BF6F-4052-A6F3-773538622B85}">
      <text>
        <r>
          <rPr>
            <b/>
            <sz val="9"/>
            <color indexed="81"/>
            <rFont val="Tahoma"/>
            <family val="2"/>
          </rPr>
          <t>Marae:</t>
        </r>
        <r>
          <rPr>
            <sz val="9"/>
            <color indexed="81"/>
            <rFont val="Tahoma"/>
            <family val="2"/>
          </rPr>
          <t xml:space="preserve">
Minimo Litros anuales
tenia 14,400 lo subi a 15,000
=((19000*1.16)+(4500*17.5))/15000</t>
        </r>
      </text>
    </comment>
    <comment ref="M106" authorId="0" shapeId="0" xr:uid="{1B31F33E-4D01-4885-B24D-4BD4E12346B7}">
      <text>
        <r>
          <rPr>
            <b/>
            <sz val="9"/>
            <color indexed="81"/>
            <rFont val="Tahoma"/>
            <family val="2"/>
          </rPr>
          <t>Marae:</t>
        </r>
        <r>
          <rPr>
            <sz val="9"/>
            <color indexed="81"/>
            <rFont val="Tahoma"/>
            <family val="2"/>
          </rPr>
          <t xml:space="preserve">
=113*1.16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Marae</author>
    <author>MC</author>
    <author>Autor</author>
    <author>AGROECOLOGIA</author>
  </authors>
  <commentList>
    <comment ref="I10" authorId="0" shapeId="0" xr:uid="{31454BF3-FE25-4F16-8B29-6D326C3974E3}">
      <text>
        <r>
          <rPr>
            <b/>
            <sz val="9"/>
            <color indexed="81"/>
            <rFont val="Tahoma"/>
            <family val="2"/>
          </rPr>
          <t>Marae:</t>
        </r>
        <r>
          <rPr>
            <sz val="9"/>
            <color indexed="81"/>
            <rFont val="Tahoma"/>
            <family val="2"/>
          </rPr>
          <t xml:space="preserve">
200 L</t>
        </r>
      </text>
    </comment>
    <comment ref="J10" authorId="1" shapeId="0" xr:uid="{BC0E0E55-DE0A-44F6-AF57-95691E4BC975}">
      <text>
        <r>
          <rPr>
            <b/>
            <sz val="9"/>
            <color indexed="81"/>
            <rFont val="Tahoma"/>
            <family val="2"/>
          </rPr>
          <t>MC:</t>
        </r>
        <r>
          <rPr>
            <sz val="9"/>
            <color indexed="81"/>
            <rFont val="Tahoma"/>
            <family val="2"/>
          </rPr>
          <t xml:space="preserve">
Precio Venta</t>
        </r>
      </text>
    </comment>
    <comment ref="X20" authorId="0" shapeId="0" xr:uid="{7EED02D1-757F-4882-8453-4A42E4F9AA67}">
      <text>
        <r>
          <rPr>
            <b/>
            <sz val="9"/>
            <color indexed="81"/>
            <rFont val="Tahoma"/>
            <family val="2"/>
          </rPr>
          <t>Marae:</t>
        </r>
        <r>
          <rPr>
            <sz val="9"/>
            <color indexed="81"/>
            <rFont val="Tahoma"/>
            <family val="2"/>
          </rPr>
          <t xml:space="preserve">
$918.48kg</t>
        </r>
      </text>
    </comment>
    <comment ref="I35" authorId="0" shapeId="0" xr:uid="{808B91F1-0ACA-43D7-9140-024E86FDDF90}">
      <text>
        <r>
          <rPr>
            <b/>
            <sz val="9"/>
            <color indexed="81"/>
            <rFont val="Tahoma"/>
            <family val="2"/>
          </rPr>
          <t>Marae:</t>
        </r>
        <r>
          <rPr>
            <sz val="9"/>
            <color indexed="81"/>
            <rFont val="Tahoma"/>
            <family val="2"/>
          </rPr>
          <t xml:space="preserve">
200 L</t>
        </r>
      </text>
    </comment>
    <comment ref="J35" authorId="1" shapeId="0" xr:uid="{4131607F-6B0E-4B62-AACB-8B5023E2030C}">
      <text>
        <r>
          <rPr>
            <b/>
            <sz val="9"/>
            <color indexed="81"/>
            <rFont val="Tahoma"/>
            <family val="2"/>
          </rPr>
          <t>MC:</t>
        </r>
        <r>
          <rPr>
            <sz val="9"/>
            <color indexed="81"/>
            <rFont val="Tahoma"/>
            <family val="2"/>
          </rPr>
          <t xml:space="preserve">
Precio Venta</t>
        </r>
      </text>
    </comment>
    <comment ref="J38" authorId="1" shapeId="0" xr:uid="{4BA45E08-8F05-46FD-A106-9D7CC09C39AC}">
      <text>
        <r>
          <rPr>
            <b/>
            <sz val="9"/>
            <color indexed="81"/>
            <rFont val="Tahoma"/>
            <family val="2"/>
          </rPr>
          <t>MC:</t>
        </r>
        <r>
          <rPr>
            <sz val="9"/>
            <color indexed="81"/>
            <rFont val="Tahoma"/>
            <family val="2"/>
          </rPr>
          <t xml:space="preserve">
($ dls/Kg *tc)/densidad
0.929</t>
        </r>
      </text>
    </comment>
    <comment ref="J41" authorId="0" shapeId="0" xr:uid="{ACEBA94C-157C-45CD-865D-D2D12CDEB1E3}">
      <text>
        <r>
          <rPr>
            <b/>
            <sz val="9"/>
            <color indexed="81"/>
            <rFont val="Tahoma"/>
            <family val="2"/>
          </rPr>
          <t>Marae:</t>
        </r>
        <r>
          <rPr>
            <sz val="9"/>
            <color indexed="81"/>
            <rFont val="Tahoma"/>
            <family val="2"/>
          </rPr>
          <t xml:space="preserve">
($ dls/Kg *tc)/densidad
0.965</t>
        </r>
      </text>
    </comment>
    <comment ref="I51" authorId="0" shapeId="0" xr:uid="{29D83285-C596-48B7-9709-E1135AA7BB27}">
      <text>
        <r>
          <rPr>
            <b/>
            <sz val="9"/>
            <color indexed="81"/>
            <rFont val="Tahoma"/>
            <family val="2"/>
          </rPr>
          <t>Marae:</t>
        </r>
        <r>
          <rPr>
            <sz val="9"/>
            <color indexed="81"/>
            <rFont val="Tahoma"/>
            <family val="2"/>
          </rPr>
          <t xml:space="preserve">
1000 L</t>
        </r>
      </text>
    </comment>
    <comment ref="J57" authorId="0" shapeId="0" xr:uid="{58E89692-E023-485B-AFA6-47EAC698605F}">
      <text>
        <r>
          <rPr>
            <b/>
            <sz val="9"/>
            <color indexed="81"/>
            <rFont val="Tahoma"/>
            <family val="2"/>
          </rPr>
          <t>Marae:</t>
        </r>
        <r>
          <rPr>
            <sz val="9"/>
            <color indexed="81"/>
            <rFont val="Tahoma"/>
            <family val="2"/>
          </rPr>
          <t xml:space="preserve">
=285+(900/200)
 por pedidos mayor 1 ton
$255.0 +  IVA flete incluido</t>
        </r>
      </text>
    </comment>
    <comment ref="H60" authorId="2" shapeId="0" xr:uid="{ABFD5E91-CA7B-4BAA-9801-F8E0D1C57F65}">
      <text>
        <r>
          <rPr>
            <b/>
            <sz val="9"/>
            <color indexed="81"/>
            <rFont val="Tahoma"/>
            <family val="2"/>
          </rPr>
          <t>Autor:</t>
        </r>
        <r>
          <rPr>
            <sz val="9"/>
            <color indexed="81"/>
            <rFont val="Tahoma"/>
            <family val="2"/>
          </rPr>
          <t xml:space="preserve">
[12:61:00]
</t>
        </r>
      </text>
    </comment>
    <comment ref="J60" authorId="0" shapeId="0" xr:uid="{47E0B236-D763-4EF7-957B-7181A951918E}">
      <text>
        <r>
          <rPr>
            <b/>
            <sz val="9"/>
            <color indexed="81"/>
            <rFont val="Tahoma"/>
            <family val="2"/>
          </rPr>
          <t>Marae:</t>
        </r>
        <r>
          <rPr>
            <sz val="9"/>
            <color indexed="81"/>
            <rFont val="Tahoma"/>
            <family val="2"/>
          </rPr>
          <t xml:space="preserve">
=285+(900/200)
 por pedidos mayor 1 ton
$255.0 +  IVA flete incluido</t>
        </r>
      </text>
    </comment>
    <comment ref="J63" authorId="0" shapeId="0" xr:uid="{6B67E678-7A87-47B1-A642-1DA72A43FDE8}">
      <text>
        <r>
          <rPr>
            <b/>
            <sz val="9"/>
            <color indexed="81"/>
            <rFont val="Tahoma"/>
            <family val="2"/>
          </rPr>
          <t>Marae:</t>
        </r>
        <r>
          <rPr>
            <sz val="9"/>
            <color indexed="81"/>
            <rFont val="Tahoma"/>
            <family val="2"/>
          </rPr>
          <t xml:space="preserve">
=285+(900/200)
 por pedidos mayor 1 ton
$255.0 +  IVA flete incluido</t>
        </r>
      </text>
    </comment>
    <comment ref="J66" authorId="3" shapeId="0" xr:uid="{B80F135C-38F4-41C1-AA81-C24A05CD23D9}">
      <text>
        <r>
          <rPr>
            <b/>
            <sz val="9"/>
            <color indexed="81"/>
            <rFont val="Tahoma"/>
            <family val="2"/>
          </rPr>
          <t>AGROECOLOGIA:</t>
        </r>
        <r>
          <rPr>
            <sz val="9"/>
            <color indexed="81"/>
            <rFont val="Tahoma"/>
            <family val="2"/>
          </rPr>
          <t xml:space="preserve">
9.55 dls/kg + iva
$11.0916 dls/Kg mas envio</t>
        </r>
      </text>
    </comment>
    <comment ref="I70" authorId="0" shapeId="0" xr:uid="{005F2623-D66B-4DD2-9F82-1A300AC4DF67}">
      <text>
        <r>
          <rPr>
            <b/>
            <sz val="9"/>
            <color indexed="81"/>
            <rFont val="Tahoma"/>
            <family val="2"/>
          </rPr>
          <t>Marae:</t>
        </r>
        <r>
          <rPr>
            <sz val="9"/>
            <color indexed="81"/>
            <rFont val="Tahoma"/>
            <family val="2"/>
          </rPr>
          <t xml:space="preserve">
1000 L</t>
        </r>
      </text>
    </comment>
    <comment ref="J70" authorId="1" shapeId="0" xr:uid="{86304C73-4F07-4028-8EB0-A73B18C6B2EE}">
      <text>
        <r>
          <rPr>
            <b/>
            <sz val="9"/>
            <color indexed="81"/>
            <rFont val="Tahoma"/>
            <family val="2"/>
          </rPr>
          <t>MC:</t>
        </r>
        <r>
          <rPr>
            <sz val="9"/>
            <color indexed="81"/>
            <rFont val="Tahoma"/>
            <family val="2"/>
          </rPr>
          <t xml:space="preserve">
Precio Venta</t>
        </r>
      </text>
    </comment>
    <comment ref="I73" authorId="0" shapeId="0" xr:uid="{27C530A8-AC59-46FB-9862-D5CC8B3E0D08}">
      <text>
        <r>
          <rPr>
            <b/>
            <sz val="9"/>
            <color indexed="81"/>
            <rFont val="Tahoma"/>
            <family val="2"/>
          </rPr>
          <t>Marae:</t>
        </r>
        <r>
          <rPr>
            <sz val="9"/>
            <color indexed="81"/>
            <rFont val="Tahoma"/>
            <family val="2"/>
          </rPr>
          <t xml:space="preserve">
En la formulacion de MRF se emplea el NaOH al 70% esto es 71.4 kg/100 L por lo tanto la densidad es de 1kg = 1.4 L o
1 L = 0.714 kg</t>
        </r>
      </text>
    </comment>
    <comment ref="M73" authorId="0" shapeId="0" xr:uid="{4CB5B36C-1765-4070-8DFB-EFF88FE7F572}">
      <text>
        <r>
          <rPr>
            <b/>
            <sz val="9"/>
            <color indexed="81"/>
            <rFont val="Tahoma"/>
            <family val="2"/>
          </rPr>
          <t>Marae:</t>
        </r>
        <r>
          <rPr>
            <sz val="9"/>
            <color indexed="81"/>
            <rFont val="Tahoma"/>
            <family val="2"/>
          </rPr>
          <t xml:space="preserve">
71.4 KG/100 L KOH al 70%</t>
        </r>
      </text>
    </comment>
    <comment ref="M74" authorId="0" shapeId="0" xr:uid="{5E1B1A1B-24CD-403B-BE3E-41EF34D740A3}">
      <text>
        <r>
          <rPr>
            <b/>
            <sz val="9"/>
            <color indexed="81"/>
            <rFont val="Tahoma"/>
            <family val="2"/>
          </rPr>
          <t>Marae:</t>
        </r>
        <r>
          <rPr>
            <sz val="9"/>
            <color indexed="81"/>
            <rFont val="Tahoma"/>
            <family val="2"/>
          </rPr>
          <t xml:space="preserve">
Lote adquirido 2022</t>
        </r>
      </text>
    </comment>
    <comment ref="M79" authorId="0" shapeId="0" xr:uid="{854F92E3-3B2E-4991-ADFB-566FE6C0F4AA}">
      <text>
        <r>
          <rPr>
            <b/>
            <sz val="9"/>
            <color indexed="81"/>
            <rFont val="Tahoma"/>
            <family val="2"/>
          </rPr>
          <t>Marae:</t>
        </r>
        <r>
          <rPr>
            <sz val="9"/>
            <color indexed="81"/>
            <rFont val="Tahoma"/>
            <family val="2"/>
          </rPr>
          <t xml:space="preserve">
Aun se usaba DAP
!750/100
$17.5/KG DAP</t>
        </r>
      </text>
    </comment>
    <comment ref="J93" authorId="3" shapeId="0" xr:uid="{5B4A4725-5E53-4579-9404-2FBAF96658FE}">
      <text>
        <r>
          <rPr>
            <b/>
            <sz val="9"/>
            <color indexed="81"/>
            <rFont val="Tahoma"/>
            <family val="2"/>
          </rPr>
          <t>AGROECOLOGIA:</t>
        </r>
        <r>
          <rPr>
            <sz val="9"/>
            <color indexed="81"/>
            <rFont val="Tahoma"/>
            <family val="2"/>
          </rPr>
          <t xml:space="preserve">
9.55 dls/kg + iva
$11.0916 dls/Kg mas envio</t>
        </r>
      </text>
    </comment>
    <comment ref="J95" authorId="3" shapeId="0" xr:uid="{3601BA43-4596-4429-A94C-1F344A6848F3}">
      <text>
        <r>
          <rPr>
            <b/>
            <sz val="9"/>
            <color indexed="81"/>
            <rFont val="Tahoma"/>
            <family val="2"/>
          </rPr>
          <t>AGROECOLOGIA:</t>
        </r>
        <r>
          <rPr>
            <sz val="9"/>
            <color indexed="81"/>
            <rFont val="Tahoma"/>
            <family val="2"/>
          </rPr>
          <t xml:space="preserve">
9.55 dls/kg + iva
$11.0916 dls/Kg mas envio</t>
        </r>
      </text>
    </comment>
    <comment ref="J103" authorId="0" shapeId="0" xr:uid="{B30EF5CA-9E23-4553-B590-8007F97E4D64}">
      <text>
        <r>
          <rPr>
            <b/>
            <sz val="9"/>
            <color indexed="81"/>
            <rFont val="Tahoma"/>
            <family val="2"/>
          </rPr>
          <t>Marae:</t>
        </r>
        <r>
          <rPr>
            <sz val="9"/>
            <color indexed="81"/>
            <rFont val="Tahoma"/>
            <family val="2"/>
          </rPr>
          <t xml:space="preserve">
=285+(900/200)
 por pedidos mayor 1 ton
$255.0 +  IVA flete incluido</t>
        </r>
      </text>
    </comment>
    <comment ref="J105" authorId="0" shapeId="0" xr:uid="{161D6629-56C0-4C74-8C65-0F4F07375B6A}">
      <text>
        <r>
          <rPr>
            <b/>
            <sz val="9"/>
            <color indexed="81"/>
            <rFont val="Tahoma"/>
            <family val="2"/>
          </rPr>
          <t>Marae:</t>
        </r>
        <r>
          <rPr>
            <sz val="9"/>
            <color indexed="81"/>
            <rFont val="Tahoma"/>
            <family val="2"/>
          </rPr>
          <t xml:space="preserve">
=285+(900/200)
 por pedidos mayor 1 ton
$255.0 +  IVA flete incluido</t>
        </r>
      </text>
    </comment>
    <comment ref="J107" authorId="0" shapeId="0" xr:uid="{3463F1AB-A7F8-4201-ABE3-3C0C161DD0B2}">
      <text>
        <r>
          <rPr>
            <b/>
            <sz val="9"/>
            <color indexed="81"/>
            <rFont val="Tahoma"/>
            <family val="2"/>
          </rPr>
          <t>Marae:</t>
        </r>
        <r>
          <rPr>
            <sz val="9"/>
            <color indexed="81"/>
            <rFont val="Tahoma"/>
            <family val="2"/>
          </rPr>
          <t xml:space="preserve">
=285+(900/200)
 por pedidos mayor 1 ton
$255.0 +  IVA flete incluido</t>
        </r>
      </text>
    </comment>
    <comment ref="J111" authorId="1" shapeId="0" xr:uid="{293F2BB3-534D-4CCB-9EAF-FDFADEB6DB5F}">
      <text>
        <r>
          <rPr>
            <b/>
            <sz val="9"/>
            <color indexed="81"/>
            <rFont val="Tahoma"/>
            <family val="2"/>
          </rPr>
          <t>MC:</t>
        </r>
        <r>
          <rPr>
            <sz val="9"/>
            <color indexed="81"/>
            <rFont val="Tahoma"/>
            <family val="2"/>
          </rPr>
          <t xml:space="preserve">
($ dls/Kg *tc)/densidad
0.929</t>
        </r>
      </text>
    </comment>
    <comment ref="I133" authorId="0" shapeId="0" xr:uid="{A88F3830-E67B-4251-8BC5-300F61FB3C62}">
      <text>
        <r>
          <rPr>
            <b/>
            <sz val="9"/>
            <color indexed="81"/>
            <rFont val="Tahoma"/>
            <family val="2"/>
          </rPr>
          <t>Marae:</t>
        </r>
        <r>
          <rPr>
            <sz val="9"/>
            <color indexed="81"/>
            <rFont val="Tahoma"/>
            <family val="2"/>
          </rPr>
          <t xml:space="preserve">
200 L</t>
        </r>
      </text>
    </comment>
    <comment ref="J133" authorId="1" shapeId="0" xr:uid="{8BE3EB41-87A2-4F61-A5A5-7D69A4D2DE6C}">
      <text>
        <r>
          <rPr>
            <b/>
            <sz val="9"/>
            <color indexed="81"/>
            <rFont val="Tahoma"/>
            <family val="2"/>
          </rPr>
          <t>MC:</t>
        </r>
        <r>
          <rPr>
            <sz val="9"/>
            <color indexed="81"/>
            <rFont val="Tahoma"/>
            <family val="2"/>
          </rPr>
          <t xml:space="preserve">
Precio Venta</t>
        </r>
      </text>
    </comment>
    <comment ref="M137" authorId="0" shapeId="0" xr:uid="{1CA7F246-937A-44A6-AD4E-7C5C5A67B8D1}">
      <text>
        <r>
          <rPr>
            <b/>
            <sz val="9"/>
            <color indexed="81"/>
            <rFont val="Tahoma"/>
            <family val="2"/>
          </rPr>
          <t>Marae:</t>
        </r>
        <r>
          <rPr>
            <sz val="9"/>
            <color indexed="81"/>
            <rFont val="Tahoma"/>
            <family val="2"/>
          </rPr>
          <t xml:space="preserve">
=$10.0/PZ</t>
        </r>
      </text>
    </comment>
    <comment ref="M140" authorId="0" shapeId="0" xr:uid="{4D92DFA7-4218-471D-8745-6CAFA55C210F}">
      <text>
        <r>
          <rPr>
            <b/>
            <sz val="9"/>
            <color indexed="81"/>
            <rFont val="Tahoma"/>
            <family val="2"/>
          </rPr>
          <t>Marae:</t>
        </r>
        <r>
          <rPr>
            <sz val="9"/>
            <color indexed="81"/>
            <rFont val="Tahoma"/>
            <family val="2"/>
          </rPr>
          <t xml:space="preserve">
Minimo Litros anuales
tenia 14,400 lo subi a 15,000
=((19000*1.16)+(4500*17.5))/15000</t>
        </r>
      </text>
    </comment>
    <comment ref="M143" authorId="0" shapeId="0" xr:uid="{0AE2FFF3-3B90-41CE-A8FA-404DA408B070}">
      <text>
        <r>
          <rPr>
            <b/>
            <sz val="9"/>
            <color indexed="81"/>
            <rFont val="Tahoma"/>
            <family val="2"/>
          </rPr>
          <t>Marae:</t>
        </r>
        <r>
          <rPr>
            <sz val="9"/>
            <color indexed="81"/>
            <rFont val="Tahoma"/>
            <family val="2"/>
          </rPr>
          <t xml:space="preserve">
=113*1.16</t>
        </r>
      </text>
    </comment>
    <comment ref="I145" authorId="0" shapeId="0" xr:uid="{F6B8535C-129F-4CA6-952F-B2DEB77597DD}">
      <text>
        <r>
          <rPr>
            <b/>
            <sz val="9"/>
            <color indexed="81"/>
            <rFont val="Tahoma"/>
            <family val="2"/>
          </rPr>
          <t>Marae:</t>
        </r>
        <r>
          <rPr>
            <sz val="9"/>
            <color indexed="81"/>
            <rFont val="Tahoma"/>
            <family val="2"/>
          </rPr>
          <t xml:space="preserve">
200 L</t>
        </r>
      </text>
    </comment>
    <comment ref="J145" authorId="1" shapeId="0" xr:uid="{91483CB2-9D3F-42AC-85D0-EF8DB5E08617}">
      <text>
        <r>
          <rPr>
            <b/>
            <sz val="9"/>
            <color indexed="81"/>
            <rFont val="Tahoma"/>
            <family val="2"/>
          </rPr>
          <t>MC:</t>
        </r>
        <r>
          <rPr>
            <sz val="9"/>
            <color indexed="81"/>
            <rFont val="Tahoma"/>
            <family val="2"/>
          </rPr>
          <t xml:space="preserve">
Precio Venta</t>
        </r>
      </text>
    </comment>
    <comment ref="M149" authorId="0" shapeId="0" xr:uid="{FCA4CAF2-E24F-4320-97BE-EE0DA503BE70}">
      <text>
        <r>
          <rPr>
            <b/>
            <sz val="9"/>
            <color indexed="81"/>
            <rFont val="Tahoma"/>
            <family val="2"/>
          </rPr>
          <t>Marae:</t>
        </r>
        <r>
          <rPr>
            <sz val="9"/>
            <color indexed="81"/>
            <rFont val="Tahoma"/>
            <family val="2"/>
          </rPr>
          <t xml:space="preserve">
=$10.0/PZ</t>
        </r>
      </text>
    </comment>
    <comment ref="M152" authorId="0" shapeId="0" xr:uid="{D3494D04-72B0-4B48-80F3-0D78DC9531E4}">
      <text>
        <r>
          <rPr>
            <b/>
            <sz val="9"/>
            <color indexed="81"/>
            <rFont val="Tahoma"/>
            <family val="2"/>
          </rPr>
          <t>Marae:</t>
        </r>
        <r>
          <rPr>
            <sz val="9"/>
            <color indexed="81"/>
            <rFont val="Tahoma"/>
            <family val="2"/>
          </rPr>
          <t xml:space="preserve">
Minimo Litros anuales
tenia 14,400 lo subi a 15,000
=((19000*1.16)+(4500*17.5))/15000</t>
        </r>
      </text>
    </comment>
    <comment ref="M155" authorId="0" shapeId="0" xr:uid="{B693F678-DA0D-47F3-9C3E-C571BE3FA3DD}">
      <text>
        <r>
          <rPr>
            <b/>
            <sz val="9"/>
            <color indexed="81"/>
            <rFont val="Tahoma"/>
            <family val="2"/>
          </rPr>
          <t>Marae:</t>
        </r>
        <r>
          <rPr>
            <sz val="9"/>
            <color indexed="81"/>
            <rFont val="Tahoma"/>
            <family val="2"/>
          </rPr>
          <t xml:space="preserve">
=113*1.16</t>
        </r>
      </text>
    </comment>
    <comment ref="I157" authorId="0" shapeId="0" xr:uid="{00F0A497-5A7A-4572-ACEB-7E687F95CF04}">
      <text>
        <r>
          <rPr>
            <b/>
            <sz val="9"/>
            <color indexed="81"/>
            <rFont val="Tahoma"/>
            <family val="2"/>
          </rPr>
          <t>Marae:</t>
        </r>
        <r>
          <rPr>
            <sz val="9"/>
            <color indexed="81"/>
            <rFont val="Tahoma"/>
            <family val="2"/>
          </rPr>
          <t xml:space="preserve">
1000 L</t>
        </r>
      </text>
    </comment>
    <comment ref="M161" authorId="0" shapeId="0" xr:uid="{91A97C32-A160-44D8-8841-7404671D9E29}">
      <text>
        <r>
          <rPr>
            <b/>
            <sz val="9"/>
            <color indexed="81"/>
            <rFont val="Tahoma"/>
            <family val="2"/>
          </rPr>
          <t>Marae:</t>
        </r>
        <r>
          <rPr>
            <sz val="9"/>
            <color indexed="81"/>
            <rFont val="Tahoma"/>
            <family val="2"/>
          </rPr>
          <t xml:space="preserve">
=$10.0/PZ</t>
        </r>
      </text>
    </comment>
    <comment ref="M164" authorId="0" shapeId="0" xr:uid="{86131FEC-743B-4DC1-99EA-4823408A50EB}">
      <text>
        <r>
          <rPr>
            <b/>
            <sz val="9"/>
            <color indexed="81"/>
            <rFont val="Tahoma"/>
            <family val="2"/>
          </rPr>
          <t>Marae:</t>
        </r>
        <r>
          <rPr>
            <sz val="9"/>
            <color indexed="81"/>
            <rFont val="Tahoma"/>
            <family val="2"/>
          </rPr>
          <t xml:space="preserve">
Minimo Litros anuales
tenia 14,400 lo subi a 15,000
=((19000*1.16)+(4500*17.5))/15000</t>
        </r>
      </text>
    </comment>
    <comment ref="M167" authorId="0" shapeId="0" xr:uid="{1A7AF930-7061-4F04-BE20-C7A24362927A}">
      <text>
        <r>
          <rPr>
            <b/>
            <sz val="9"/>
            <color indexed="81"/>
            <rFont val="Tahoma"/>
            <family val="2"/>
          </rPr>
          <t>Marae:</t>
        </r>
        <r>
          <rPr>
            <sz val="9"/>
            <color indexed="81"/>
            <rFont val="Tahoma"/>
            <family val="2"/>
          </rPr>
          <t xml:space="preserve">
=113*1.16</t>
        </r>
      </text>
    </comment>
    <comment ref="I169" authorId="0" shapeId="0" xr:uid="{E492B134-C3E7-4EC4-BFAA-5DD31FF19E51}">
      <text>
        <r>
          <rPr>
            <b/>
            <sz val="9"/>
            <color indexed="81"/>
            <rFont val="Tahoma"/>
            <family val="2"/>
          </rPr>
          <t>Marae:</t>
        </r>
        <r>
          <rPr>
            <sz val="9"/>
            <color indexed="81"/>
            <rFont val="Tahoma"/>
            <family val="2"/>
          </rPr>
          <t xml:space="preserve">
1000 L</t>
        </r>
      </text>
    </comment>
    <comment ref="J169" authorId="1" shapeId="0" xr:uid="{9198F80F-8BC5-493F-A9BA-8D83A0D13686}">
      <text>
        <r>
          <rPr>
            <b/>
            <sz val="9"/>
            <color indexed="81"/>
            <rFont val="Tahoma"/>
            <family val="2"/>
          </rPr>
          <t>MC:</t>
        </r>
        <r>
          <rPr>
            <sz val="9"/>
            <color indexed="81"/>
            <rFont val="Tahoma"/>
            <family val="2"/>
          </rPr>
          <t xml:space="preserve">
Precio Venta</t>
        </r>
      </text>
    </comment>
    <comment ref="M173" authorId="0" shapeId="0" xr:uid="{BB3771E1-587D-4786-9C92-AA29278AB248}">
      <text>
        <r>
          <rPr>
            <b/>
            <sz val="9"/>
            <color indexed="81"/>
            <rFont val="Tahoma"/>
            <family val="2"/>
          </rPr>
          <t>Marae:</t>
        </r>
        <r>
          <rPr>
            <sz val="9"/>
            <color indexed="81"/>
            <rFont val="Tahoma"/>
            <family val="2"/>
          </rPr>
          <t xml:space="preserve">
=$10.0/PZ</t>
        </r>
      </text>
    </comment>
    <comment ref="M176" authorId="0" shapeId="0" xr:uid="{4B4A1266-6478-464A-ADEB-B101BEA41D62}">
      <text>
        <r>
          <rPr>
            <b/>
            <sz val="9"/>
            <color indexed="81"/>
            <rFont val="Tahoma"/>
            <family val="2"/>
          </rPr>
          <t>Marae:</t>
        </r>
        <r>
          <rPr>
            <sz val="9"/>
            <color indexed="81"/>
            <rFont val="Tahoma"/>
            <family val="2"/>
          </rPr>
          <t xml:space="preserve">
=113*1.16</t>
        </r>
      </text>
    </comment>
    <comment ref="J185" authorId="0" shapeId="0" xr:uid="{FCFAD2AF-646F-4C21-9066-5F338D853694}">
      <text>
        <r>
          <rPr>
            <b/>
            <sz val="9"/>
            <color indexed="81"/>
            <rFont val="Tahoma"/>
            <family val="2"/>
          </rPr>
          <t>Marae:</t>
        </r>
        <r>
          <rPr>
            <sz val="9"/>
            <color indexed="81"/>
            <rFont val="Tahoma"/>
            <family val="2"/>
          </rPr>
          <t xml:space="preserve">
45000 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Marae</author>
    <author>MC</author>
  </authors>
  <commentList>
    <comment ref="T6" authorId="0" shapeId="0" xr:uid="{295FDE0F-F3AB-41DD-9104-78697B6D8CB3}">
      <text>
        <r>
          <rPr>
            <b/>
            <sz val="9"/>
            <color indexed="81"/>
            <rFont val="Tahoma"/>
            <family val="2"/>
          </rPr>
          <t>Marae:</t>
        </r>
        <r>
          <rPr>
            <sz val="9"/>
            <color indexed="81"/>
            <rFont val="Tahoma"/>
            <family val="2"/>
          </rPr>
          <t xml:space="preserve">
TD_OG_1
Control Biologico
Gastos Administrativos
OTROS GASTOS</t>
        </r>
      </text>
    </comment>
    <comment ref="AI6" authorId="0" shapeId="0" xr:uid="{B5895A79-6A3C-4373-A1AD-DFBAD8108C3B}">
      <text>
        <r>
          <rPr>
            <b/>
            <sz val="9"/>
            <color indexed="81"/>
            <rFont val="Tahoma"/>
            <family val="2"/>
          </rPr>
          <t>Marae:</t>
        </r>
        <r>
          <rPr>
            <sz val="9"/>
            <color indexed="81"/>
            <rFont val="Tahoma"/>
            <family val="2"/>
          </rPr>
          <t xml:space="preserve">
TD_OG_1
APICULTURA
Gastos Administrativos
OTROS GASTOS</t>
        </r>
      </text>
    </comment>
    <comment ref="AX6" authorId="0" shapeId="0" xr:uid="{C1E36529-C264-4BCB-AA68-147720DE357F}">
      <text>
        <r>
          <rPr>
            <b/>
            <sz val="9"/>
            <color indexed="81"/>
            <rFont val="Tahoma"/>
            <family val="2"/>
          </rPr>
          <t>Marae:</t>
        </r>
        <r>
          <rPr>
            <sz val="9"/>
            <color indexed="81"/>
            <rFont val="Tahoma"/>
            <family val="2"/>
          </rPr>
          <t xml:space="preserve">
TD_OG_1
BIOFERTILIZANTES
GASTOS ADMINISTRATIVOS
Otros Gastos</t>
        </r>
      </text>
    </comment>
    <comment ref="BM6" authorId="0" shapeId="0" xr:uid="{5339AE46-D673-4E9F-B57C-8C2A70E01430}">
      <text>
        <r>
          <rPr>
            <b/>
            <sz val="9"/>
            <color indexed="81"/>
            <rFont val="Tahoma"/>
            <family val="2"/>
          </rPr>
          <t>Marae:</t>
        </r>
        <r>
          <rPr>
            <sz val="9"/>
            <color indexed="81"/>
            <rFont val="Tahoma"/>
            <family val="2"/>
          </rPr>
          <t xml:space="preserve">
TD_OG_1
BIOREPELENTES
Gastos Administrativos
OTROS GASTOS</t>
        </r>
      </text>
    </comment>
    <comment ref="E7" authorId="1" shapeId="0" xr:uid="{F6CD65D5-82FC-4E35-B0EE-464863C7FD8F}">
      <text>
        <r>
          <rPr>
            <b/>
            <sz val="9"/>
            <color indexed="81"/>
            <rFont val="Tahoma"/>
            <family val="2"/>
          </rPr>
          <t>MC:</t>
        </r>
        <r>
          <rPr>
            <sz val="9"/>
            <color indexed="81"/>
            <rFont val="Tahoma"/>
            <family val="2"/>
          </rPr>
          <t xml:space="preserve">
Tabla Sueldos 
2% sobre nomina</t>
        </r>
      </text>
    </comment>
    <comment ref="T7" authorId="1" shapeId="0" xr:uid="{D00521C7-73F1-45AB-966D-29BA97B287E6}">
      <text>
        <r>
          <rPr>
            <b/>
            <sz val="9"/>
            <color indexed="81"/>
            <rFont val="Tahoma"/>
            <family val="2"/>
          </rPr>
          <t>MC:</t>
        </r>
        <r>
          <rPr>
            <sz val="9"/>
            <color indexed="81"/>
            <rFont val="Tahoma"/>
            <family val="2"/>
          </rPr>
          <t xml:space="preserve">
Tabla Sueldos 
2% sobre nomina</t>
        </r>
      </text>
    </comment>
    <comment ref="B9" authorId="1" shapeId="0" xr:uid="{C9E8AF28-1F22-4DDB-9DC5-B32782D3D17F}">
      <text>
        <r>
          <rPr>
            <b/>
            <sz val="9"/>
            <color indexed="81"/>
            <rFont val="Tahoma"/>
            <family val="2"/>
          </rPr>
          <t>MC:</t>
        </r>
        <r>
          <rPr>
            <sz val="9"/>
            <color indexed="81"/>
            <rFont val="Tahoma"/>
            <family val="2"/>
          </rPr>
          <t xml:space="preserve">
Sueldo del gerente de agroecolicia dividio entre 4 (incluye 2% de imss)
crisopas, apicultura, Biofertilizantes y Biorepelentes
DE LA TABLA CB3, EN LIMONES PROVEERDOR QUE INCLUYA 2%IMS, SEMANAS Y SUELDOS ADMINISTRATIVOS</t>
        </r>
      </text>
    </comment>
    <comment ref="E9" authorId="1" shapeId="0" xr:uid="{0EB953B5-B343-4E52-B1BE-9676AECD55CC}">
      <text>
        <r>
          <rPr>
            <b/>
            <sz val="9"/>
            <color indexed="81"/>
            <rFont val="Tahoma"/>
            <family val="2"/>
          </rPr>
          <t>MC:</t>
        </r>
        <r>
          <rPr>
            <sz val="9"/>
            <color indexed="81"/>
            <rFont val="Tahoma"/>
            <family val="2"/>
          </rPr>
          <t xml:space="preserve">
Sueldo del gerente de agroecolicia dividio entre 4 (incluye 2% de imss)
crisopas, apicultura, Biofertilizantes y Biorepelentes
DE LA TABLA CB3, EN LIMONES PROVEERDOR QUE INCLUYA 2%IMS, SEMANAS Y SUELDOS ADMINISTRATIVOS</t>
        </r>
      </text>
    </comment>
    <comment ref="T9" authorId="1" shapeId="0" xr:uid="{CC77FA55-50BD-4C87-B891-2FA2C403D256}">
      <text>
        <r>
          <rPr>
            <b/>
            <sz val="9"/>
            <color indexed="81"/>
            <rFont val="Tahoma"/>
            <family val="2"/>
          </rPr>
          <t>MC:</t>
        </r>
        <r>
          <rPr>
            <sz val="9"/>
            <color indexed="81"/>
            <rFont val="Tahoma"/>
            <family val="2"/>
          </rPr>
          <t xml:space="preserve">
Sueldo del gerente de agroecolicia dividio entre 4 (incluye 2% de imss)
crisopas, apicultura, Biofertilizantes y Biorepelentes
DE LA TABLA CB3, EN LIMONES PROVEERDOR QUE INCLUYA 2%IMS, SEMANAS Y SUELDOS ADMINISTRATIVOS</t>
        </r>
      </text>
    </comment>
    <comment ref="V9" authorId="0" shapeId="0" xr:uid="{5ED301E6-6CA5-42A8-9B82-06B7A485423D}">
      <text>
        <r>
          <rPr>
            <b/>
            <sz val="9"/>
            <color indexed="81"/>
            <rFont val="Tahoma"/>
            <family val="2"/>
          </rPr>
          <t>Marae:</t>
        </r>
        <r>
          <rPr>
            <sz val="9"/>
            <color indexed="81"/>
            <rFont val="Tahoma"/>
            <family val="2"/>
          </rPr>
          <t xml:space="preserve">
El dato semanal x 52 sem, dividido en 12 meses y a su ves dividido en 4 areas (Control Biologico, Apicultura, Biofertilizantes, Biorepelentes)</t>
        </r>
      </text>
    </comment>
    <comment ref="AI9" authorId="1" shapeId="0" xr:uid="{9BE4FE24-7F1D-4BF6-B97B-37A95B8BD339}">
      <text>
        <r>
          <rPr>
            <b/>
            <sz val="9"/>
            <color indexed="81"/>
            <rFont val="Tahoma"/>
            <family val="2"/>
          </rPr>
          <t>MC:</t>
        </r>
        <r>
          <rPr>
            <sz val="9"/>
            <color indexed="81"/>
            <rFont val="Tahoma"/>
            <family val="2"/>
          </rPr>
          <t xml:space="preserve">
Sueldo del gerente de agroecolicia dividio entre 4 (incluye 2% de imss)
crisopas, apicultura, Biofertilizantes y Biorepelentes
DE LA TABLA CB3, EN LIMONES PROVEERDOR QUE INCLUYA 2%IMS, SEMANAS Y SUELDOS ADMINISTRATIVOS</t>
        </r>
      </text>
    </comment>
    <comment ref="AK9" authorId="0" shapeId="0" xr:uid="{1FEDE849-1B89-4C42-B687-C2A9987761EE}">
      <text>
        <r>
          <rPr>
            <b/>
            <sz val="9"/>
            <color indexed="81"/>
            <rFont val="Tahoma"/>
            <family val="2"/>
          </rPr>
          <t>Marae:</t>
        </r>
        <r>
          <rPr>
            <sz val="9"/>
            <color indexed="81"/>
            <rFont val="Tahoma"/>
            <family val="2"/>
          </rPr>
          <t xml:space="preserve">
El dato semanal x 52 sem, dividido en 12 meses y a su ves dividido en 4 areas (Control Biologico, Apicultura, Biofertilizantes, Biorepelentes)</t>
        </r>
      </text>
    </comment>
    <comment ref="AX9" authorId="1" shapeId="0" xr:uid="{80AABFDE-B595-4DAA-BA35-3F9FD9D439B4}">
      <text>
        <r>
          <rPr>
            <b/>
            <sz val="9"/>
            <color indexed="81"/>
            <rFont val="Tahoma"/>
            <family val="2"/>
          </rPr>
          <t>MC:</t>
        </r>
        <r>
          <rPr>
            <sz val="9"/>
            <color indexed="81"/>
            <rFont val="Tahoma"/>
            <family val="2"/>
          </rPr>
          <t xml:space="preserve">
Sueldo del gerente de agroecolicia dividio entre 4 (incluye 2% de imss)
crisopas, apicultura, Biofertilizantes y Biorepelentes
DE LA TABLA CB3, EN LIMONES PROVEERDOR QUE INCLUYA 2%IMS, SEMANAS Y SUELDOS ADMINISTRATIVOS</t>
        </r>
      </text>
    </comment>
    <comment ref="AZ9" authorId="0" shapeId="0" xr:uid="{14EFEC42-664E-4A35-A68B-6795B889F1EE}">
      <text>
        <r>
          <rPr>
            <b/>
            <sz val="9"/>
            <color indexed="81"/>
            <rFont val="Tahoma"/>
            <family val="2"/>
          </rPr>
          <t>Marae:</t>
        </r>
        <r>
          <rPr>
            <sz val="9"/>
            <color indexed="81"/>
            <rFont val="Tahoma"/>
            <family val="2"/>
          </rPr>
          <t xml:space="preserve">
El dato semanal x 52 sem, dividido en 12 meses y a su ves dividido en 4 areas (Control Biologico, Apicultura, Biofertilizantes, Biorepelentes)</t>
        </r>
      </text>
    </comment>
    <comment ref="BM9" authorId="1" shapeId="0" xr:uid="{736F9D5A-F419-4043-B733-44C8594B9465}">
      <text>
        <r>
          <rPr>
            <b/>
            <sz val="9"/>
            <color indexed="81"/>
            <rFont val="Tahoma"/>
            <family val="2"/>
          </rPr>
          <t>MC:</t>
        </r>
        <r>
          <rPr>
            <sz val="9"/>
            <color indexed="81"/>
            <rFont val="Tahoma"/>
            <family val="2"/>
          </rPr>
          <t xml:space="preserve">
Sueldo del gerente de agroecolicia dividio entre 4 (incluye 2% de imss)
crisopas, apicultura, Biofertilizantes y Biorepelentes
DE LA TABLA CB3, EN LIMONES PROVEERDOR QUE INCLUYA 2%IMS, SEMANAS Y SUELDOS ADMINISTRATIVOS</t>
        </r>
      </text>
    </comment>
    <comment ref="BO9" authorId="0" shapeId="0" xr:uid="{F2B5A5BD-7901-41B0-9ED3-095ACA2840A0}">
      <text>
        <r>
          <rPr>
            <b/>
            <sz val="9"/>
            <color indexed="81"/>
            <rFont val="Tahoma"/>
            <family val="2"/>
          </rPr>
          <t>Marae:</t>
        </r>
        <r>
          <rPr>
            <sz val="9"/>
            <color indexed="81"/>
            <rFont val="Tahoma"/>
            <family val="2"/>
          </rPr>
          <t xml:space="preserve">
El dato semanal x 52 sem, dividido en 12 meses y a su ves dividido en 4 areas (Control Biologico, Apicultura, Biofertilizantes, Biorepelentes)</t>
        </r>
      </text>
    </comment>
    <comment ref="E15" authorId="1" shapeId="0" xr:uid="{ADB815BE-B0EC-453B-BC28-2DAB766D97D2}">
      <text>
        <r>
          <rPr>
            <b/>
            <sz val="9"/>
            <color indexed="81"/>
            <rFont val="Tahoma"/>
            <family val="2"/>
          </rPr>
          <t>MC:</t>
        </r>
        <r>
          <rPr>
            <sz val="9"/>
            <color indexed="81"/>
            <rFont val="Tahoma"/>
            <family val="2"/>
          </rPr>
          <t xml:space="preserve">
DATOS 2023 
AE</t>
        </r>
      </text>
    </comment>
    <comment ref="T15" authorId="1" shapeId="0" xr:uid="{2C76A283-D5D6-4F39-8DC2-516B5249ABE0}">
      <text>
        <r>
          <rPr>
            <b/>
            <sz val="9"/>
            <color indexed="81"/>
            <rFont val="Tahoma"/>
            <family val="2"/>
          </rPr>
          <t>MC:</t>
        </r>
        <r>
          <rPr>
            <sz val="9"/>
            <color indexed="81"/>
            <rFont val="Tahoma"/>
            <family val="2"/>
          </rPr>
          <t xml:space="preserve">
DATOS 2023 
AE</t>
        </r>
      </text>
    </comment>
    <comment ref="E16" authorId="1" shapeId="0" xr:uid="{DE860720-9AC0-41C6-9DAF-5E103C8887AC}">
      <text>
        <r>
          <rPr>
            <b/>
            <sz val="9"/>
            <color indexed="81"/>
            <rFont val="Tahoma"/>
            <family val="2"/>
          </rPr>
          <t>MC:</t>
        </r>
        <r>
          <rPr>
            <sz val="9"/>
            <color indexed="81"/>
            <rFont val="Tahoma"/>
            <family val="2"/>
          </rPr>
          <t xml:space="preserve">
DATOS 2023
BU</t>
        </r>
      </text>
    </comment>
    <comment ref="T16" authorId="0" shapeId="0" xr:uid="{36EFEE4B-68FF-48E8-B090-05683286DC65}">
      <text>
        <r>
          <rPr>
            <b/>
            <sz val="9"/>
            <color indexed="81"/>
            <rFont val="Tahoma"/>
            <family val="2"/>
          </rPr>
          <t>Marae:</t>
        </r>
        <r>
          <rPr>
            <sz val="9"/>
            <color indexed="81"/>
            <rFont val="Tahoma"/>
            <family val="2"/>
          </rPr>
          <t xml:space="preserve">
TD_OG_1
Control Biologico
Costos de Produccion
Materiales y Herramientas</t>
        </r>
      </text>
    </comment>
    <comment ref="AI16" authorId="0" shapeId="0" xr:uid="{C2F63F48-A520-4A80-B9F1-6896E179B321}">
      <text>
        <r>
          <rPr>
            <b/>
            <sz val="9"/>
            <color indexed="81"/>
            <rFont val="Tahoma"/>
            <family val="2"/>
          </rPr>
          <t>Marae:</t>
        </r>
        <r>
          <rPr>
            <sz val="9"/>
            <color indexed="81"/>
            <rFont val="Tahoma"/>
            <family val="2"/>
          </rPr>
          <t xml:space="preserve">
TD_OG_1
APICULTURA
Costos de Produccion
Materiales y Herramientas</t>
        </r>
      </text>
    </comment>
    <comment ref="AX16" authorId="0" shapeId="0" xr:uid="{EFC2A434-31FE-469E-A903-7CEE609A4AA0}">
      <text>
        <r>
          <rPr>
            <b/>
            <sz val="9"/>
            <color indexed="81"/>
            <rFont val="Tahoma"/>
            <family val="2"/>
          </rPr>
          <t>Marae:</t>
        </r>
        <r>
          <rPr>
            <sz val="9"/>
            <color indexed="81"/>
            <rFont val="Tahoma"/>
            <family val="2"/>
          </rPr>
          <t xml:space="preserve">
TD_OG_1
BIOFERTILIZANTES
Costos de Produccion
Gastos Fijos Ranchos</t>
        </r>
      </text>
    </comment>
    <comment ref="BM16" authorId="0" shapeId="0" xr:uid="{76487DC5-1B7B-4E64-B5DD-DA16D4EE3303}">
      <text>
        <r>
          <rPr>
            <b/>
            <sz val="9"/>
            <color indexed="81"/>
            <rFont val="Tahoma"/>
            <family val="2"/>
          </rPr>
          <t>Marae:</t>
        </r>
        <r>
          <rPr>
            <sz val="9"/>
            <color indexed="81"/>
            <rFont val="Tahoma"/>
            <family val="2"/>
          </rPr>
          <t xml:space="preserve">
TD_OG_1
BIOREPELENTES
Costos de Produccion
Materiales y Herramientas</t>
        </r>
      </text>
    </comment>
    <comment ref="AZ18" authorId="1" shapeId="0" xr:uid="{2937D8B8-B06C-4FAE-AD6B-041FA96E3471}">
      <text>
        <r>
          <rPr>
            <b/>
            <sz val="9"/>
            <color indexed="81"/>
            <rFont val="Tahoma"/>
            <family val="2"/>
          </rPr>
          <t>MC:</t>
        </r>
        <r>
          <rPr>
            <sz val="9"/>
            <color indexed="81"/>
            <rFont val="Tahoma"/>
            <family val="2"/>
          </rPr>
          <t xml:space="preserve">
7400 L Multiroot</t>
        </r>
      </text>
    </comment>
    <comment ref="BA18" authorId="1" shapeId="0" xr:uid="{15B85CB9-EC47-47C2-8996-5BB7AFB1D5D3}">
      <text>
        <r>
          <rPr>
            <b/>
            <sz val="9"/>
            <color indexed="81"/>
            <rFont val="Tahoma"/>
            <family val="2"/>
          </rPr>
          <t>MC:</t>
        </r>
        <r>
          <rPr>
            <sz val="9"/>
            <color indexed="81"/>
            <rFont val="Tahoma"/>
            <family val="2"/>
          </rPr>
          <t xml:space="preserve">
3100 L Multiroot</t>
        </r>
      </text>
    </comment>
    <comment ref="BB18" authorId="1" shapeId="0" xr:uid="{AC242872-B632-4BC2-98A2-59F9F2F6622E}">
      <text>
        <r>
          <rPr>
            <b/>
            <sz val="9"/>
            <color indexed="81"/>
            <rFont val="Tahoma"/>
            <family val="2"/>
          </rPr>
          <t>MC:</t>
        </r>
        <r>
          <rPr>
            <sz val="9"/>
            <color indexed="81"/>
            <rFont val="Tahoma"/>
            <family val="2"/>
          </rPr>
          <t xml:space="preserve">
6,000 L Multiroot
50,000 L Nitrabor</t>
        </r>
      </text>
    </comment>
    <comment ref="BC18" authorId="1" shapeId="0" xr:uid="{C10C8EA8-41F9-4E6D-A955-645F355D09F6}">
      <text>
        <r>
          <rPr>
            <b/>
            <sz val="9"/>
            <color indexed="81"/>
            <rFont val="Tahoma"/>
            <family val="2"/>
          </rPr>
          <t>MC:</t>
        </r>
        <r>
          <rPr>
            <sz val="9"/>
            <color indexed="81"/>
            <rFont val="Tahoma"/>
            <family val="2"/>
          </rPr>
          <t xml:space="preserve">
2,000 L Multiroot
61,000 L Nitrabor</t>
        </r>
      </text>
    </comment>
    <comment ref="BD18" authorId="1" shapeId="0" xr:uid="{7CD71B15-2B9D-4D89-BBE1-CC372BFF44DB}">
      <text>
        <r>
          <rPr>
            <b/>
            <sz val="9"/>
            <color indexed="81"/>
            <rFont val="Tahoma"/>
            <family val="2"/>
          </rPr>
          <t>MC:</t>
        </r>
        <r>
          <rPr>
            <sz val="9"/>
            <color indexed="81"/>
            <rFont val="Tahoma"/>
            <family val="2"/>
          </rPr>
          <t xml:space="preserve">
2,000 L Multiroot
46,000 L Nitrabor</t>
        </r>
      </text>
    </comment>
    <comment ref="BE18" authorId="1" shapeId="0" xr:uid="{528169CB-A446-4153-BAD7-CA2CA04DFBBB}">
      <text>
        <r>
          <rPr>
            <b/>
            <sz val="9"/>
            <color indexed="81"/>
            <rFont val="Tahoma"/>
            <family val="2"/>
          </rPr>
          <t>MC:</t>
        </r>
        <r>
          <rPr>
            <sz val="9"/>
            <color indexed="81"/>
            <rFont val="Tahoma"/>
            <family val="2"/>
          </rPr>
          <t xml:space="preserve">
6,000 L Multiroot
</t>
        </r>
      </text>
    </comment>
    <comment ref="BF18" authorId="1" shapeId="0" xr:uid="{A58D010E-4D5C-4F3A-BC45-E4C473B76B4B}">
      <text>
        <r>
          <rPr>
            <b/>
            <sz val="9"/>
            <color indexed="81"/>
            <rFont val="Tahoma"/>
            <family val="2"/>
          </rPr>
          <t>MC:</t>
        </r>
        <r>
          <rPr>
            <sz val="9"/>
            <color indexed="81"/>
            <rFont val="Tahoma"/>
            <family val="2"/>
          </rPr>
          <t xml:space="preserve">
3,000 L Multiroot
</t>
        </r>
      </text>
    </comment>
    <comment ref="BO18" authorId="1" shapeId="0" xr:uid="{3B1147B0-C737-43A8-BE7D-20AFA9A91696}">
      <text>
        <r>
          <rPr>
            <b/>
            <sz val="9"/>
            <color indexed="81"/>
            <rFont val="Tahoma"/>
            <family val="2"/>
          </rPr>
          <t>MC:</t>
        </r>
        <r>
          <rPr>
            <sz val="9"/>
            <color indexed="81"/>
            <rFont val="Tahoma"/>
            <family val="2"/>
          </rPr>
          <t xml:space="preserve">
1,000 L Trips AV</t>
        </r>
      </text>
    </comment>
    <comment ref="BP18" authorId="1" shapeId="0" xr:uid="{49452715-69B2-45CD-A9CF-2F99167DB324}">
      <text>
        <r>
          <rPr>
            <b/>
            <sz val="9"/>
            <color indexed="81"/>
            <rFont val="Tahoma"/>
            <family val="2"/>
          </rPr>
          <t>MC:</t>
        </r>
        <r>
          <rPr>
            <sz val="9"/>
            <color indexed="81"/>
            <rFont val="Tahoma"/>
            <family val="2"/>
          </rPr>
          <t xml:space="preserve">
1600 TRIPS AV 
600 MD CITRI</t>
        </r>
      </text>
    </comment>
    <comment ref="BQ18" authorId="1" shapeId="0" xr:uid="{4B0E966A-371B-4F67-AF57-6A63085BE00E}">
      <text>
        <r>
          <rPr>
            <b/>
            <sz val="9"/>
            <color indexed="81"/>
            <rFont val="Tahoma"/>
            <family val="2"/>
          </rPr>
          <t>MC:</t>
        </r>
        <r>
          <rPr>
            <sz val="9"/>
            <color indexed="81"/>
            <rFont val="Tahoma"/>
            <family val="2"/>
          </rPr>
          <t xml:space="preserve">
2200 TRIPS AV 
1000 MD CITRI</t>
        </r>
      </text>
    </comment>
    <comment ref="BR18" authorId="1" shapeId="0" xr:uid="{324CF187-2486-4AB9-9BC8-BD61747BF12F}">
      <text>
        <r>
          <rPr>
            <b/>
            <sz val="9"/>
            <color indexed="81"/>
            <rFont val="Tahoma"/>
            <family val="2"/>
          </rPr>
          <t>MC:</t>
        </r>
        <r>
          <rPr>
            <sz val="9"/>
            <color indexed="81"/>
            <rFont val="Tahoma"/>
            <family val="2"/>
          </rPr>
          <t xml:space="preserve">
1800 TRIPS AV 
800 MD CITRI</t>
        </r>
      </text>
    </comment>
    <comment ref="BS18" authorId="1" shapeId="0" xr:uid="{BC13D741-5B71-4942-8A68-35175BC0A1F7}">
      <text>
        <r>
          <rPr>
            <b/>
            <sz val="9"/>
            <color indexed="81"/>
            <rFont val="Tahoma"/>
            <family val="2"/>
          </rPr>
          <t>MC:</t>
        </r>
        <r>
          <rPr>
            <sz val="9"/>
            <color indexed="81"/>
            <rFont val="Tahoma"/>
            <family val="2"/>
          </rPr>
          <t xml:space="preserve">
1400 TRIPS AV 
1000 L Jadam</t>
        </r>
      </text>
    </comment>
    <comment ref="BT18" authorId="1" shapeId="0" xr:uid="{E80F7A24-0C38-4BCD-94FF-E632CEDC9EEF}">
      <text>
        <r>
          <rPr>
            <b/>
            <sz val="9"/>
            <color indexed="81"/>
            <rFont val="Tahoma"/>
            <family val="2"/>
          </rPr>
          <t>MC:</t>
        </r>
        <r>
          <rPr>
            <sz val="9"/>
            <color indexed="81"/>
            <rFont val="Tahoma"/>
            <family val="2"/>
          </rPr>
          <t xml:space="preserve">
1600 TRIPS AV
400 L MD CITRI</t>
        </r>
      </text>
    </comment>
    <comment ref="AX20" authorId="1" shapeId="0" xr:uid="{A5865945-181F-40B5-A4EF-50FC8EE1A650}">
      <text>
        <r>
          <rPr>
            <b/>
            <sz val="9"/>
            <color indexed="81"/>
            <rFont val="Tahoma"/>
            <family val="2"/>
          </rPr>
          <t>MC:</t>
        </r>
        <r>
          <rPr>
            <sz val="9"/>
            <color indexed="81"/>
            <rFont val="Tahoma"/>
            <family val="2"/>
          </rPr>
          <t xml:space="preserve">
Meti lo identificado como composta y biofertilizantes (incluye lo de esteban)</t>
        </r>
      </text>
    </comment>
    <comment ref="BO20" authorId="1" shapeId="0" xr:uid="{6CB12A41-46A8-4D91-8899-924E550FA853}">
      <text>
        <r>
          <rPr>
            <b/>
            <sz val="9"/>
            <color indexed="81"/>
            <rFont val="Tahoma"/>
            <family val="2"/>
          </rPr>
          <t>MC:</t>
        </r>
        <r>
          <rPr>
            <sz val="9"/>
            <color indexed="81"/>
            <rFont val="Tahoma"/>
            <family val="2"/>
          </rPr>
          <t xml:space="preserve">
Los gastos de la Camioneta mia los meti  aquí a biorepelentes
Se esta considerando lo de Diana de ganaderia por 90 L c/u  importe de $4,226.40</t>
        </r>
      </text>
    </comment>
    <comment ref="AZ28" authorId="1" shapeId="0" xr:uid="{A548DD0D-957F-4E15-97D4-578DB16C0905}">
      <text>
        <r>
          <rPr>
            <b/>
            <sz val="9"/>
            <color indexed="81"/>
            <rFont val="Tahoma"/>
            <family val="2"/>
          </rPr>
          <t>MC:</t>
        </r>
        <r>
          <rPr>
            <sz val="9"/>
            <color indexed="81"/>
            <rFont val="Tahoma"/>
            <family val="2"/>
          </rPr>
          <t xml:space="preserve">
Precio promedio ponderado entre todos los materiales
TD
MNO234</t>
        </r>
      </text>
    </comment>
    <comment ref="BO28" authorId="1" shapeId="0" xr:uid="{A8FD282D-6578-4B1B-9A36-F7F97D539697}">
      <text>
        <r>
          <rPr>
            <b/>
            <sz val="9"/>
            <color indexed="81"/>
            <rFont val="Tahoma"/>
            <family val="2"/>
          </rPr>
          <t>MC:</t>
        </r>
        <r>
          <rPr>
            <sz val="9"/>
            <color indexed="81"/>
            <rFont val="Tahoma"/>
            <family val="2"/>
          </rPr>
          <t xml:space="preserve">
Precio promedio ponderado entre todos los materiales</t>
        </r>
      </text>
    </comment>
    <comment ref="E34" authorId="1" shapeId="0" xr:uid="{BC46B2F6-8E9C-4CB4-9A7D-585E507D6513}">
      <text>
        <r>
          <rPr>
            <b/>
            <sz val="9"/>
            <color indexed="81"/>
            <rFont val="Tahoma"/>
            <family val="2"/>
          </rPr>
          <t>MC:</t>
        </r>
        <r>
          <rPr>
            <sz val="9"/>
            <color indexed="81"/>
            <rFont val="Tahoma"/>
            <family val="2"/>
          </rPr>
          <t xml:space="preserve">
de td gral</t>
        </r>
      </text>
    </comment>
    <comment ref="T34" authorId="1" shapeId="0" xr:uid="{405E7F52-1D12-4A97-8BD8-A2223DE43758}">
      <text>
        <r>
          <rPr>
            <b/>
            <sz val="9"/>
            <color indexed="81"/>
            <rFont val="Tahoma"/>
            <family val="2"/>
          </rPr>
          <t>MC:</t>
        </r>
        <r>
          <rPr>
            <sz val="9"/>
            <color indexed="81"/>
            <rFont val="Tahoma"/>
            <family val="2"/>
          </rPr>
          <t xml:space="preserve">
de td gral</t>
        </r>
      </text>
    </comment>
    <comment ref="V34" authorId="1" shapeId="0" xr:uid="{E9C4C393-6736-4300-9AA0-AC6F4F437899}">
      <text>
        <r>
          <rPr>
            <b/>
            <sz val="9"/>
            <color indexed="81"/>
            <rFont val="Tahoma"/>
            <family val="2"/>
          </rPr>
          <t>MC:</t>
        </r>
        <r>
          <rPr>
            <sz val="9"/>
            <color indexed="81"/>
            <rFont val="Tahoma"/>
            <family val="2"/>
          </rPr>
          <t xml:space="preserve">
Descontando el inventario de inicio de año 1.085</t>
        </r>
      </text>
    </comment>
    <comment ref="AK34" authorId="1" shapeId="0" xr:uid="{88DA8E04-FB66-44CB-9B9A-8E7BDE300BAA}">
      <text>
        <r>
          <rPr>
            <b/>
            <sz val="9"/>
            <color indexed="81"/>
            <rFont val="Tahoma"/>
            <family val="2"/>
          </rPr>
          <t>MC:</t>
        </r>
        <r>
          <rPr>
            <sz val="9"/>
            <color indexed="81"/>
            <rFont val="Tahoma"/>
            <family val="2"/>
          </rPr>
          <t xml:space="preserve">
Descontando Inventario final dic 2022
7,273.7</t>
        </r>
      </text>
    </comment>
    <comment ref="BO34" authorId="1" shapeId="0" xr:uid="{F77CCB71-13D3-4674-BACD-98C5FE06E34D}">
      <text>
        <r>
          <rPr>
            <b/>
            <sz val="9"/>
            <color indexed="81"/>
            <rFont val="Tahoma"/>
            <family val="2"/>
          </rPr>
          <t>MC:</t>
        </r>
        <r>
          <rPr>
            <sz val="9"/>
            <color indexed="81"/>
            <rFont val="Tahoma"/>
            <family val="2"/>
          </rPr>
          <t xml:space="preserve">
600 L MD-Citri de Dic22
1060 L Jadam de año pasado 2022 estaban en almacen y se regresaron</t>
        </r>
      </text>
    </comment>
    <comment ref="U56" authorId="1" shapeId="0" xr:uid="{38477E01-C501-49ED-9F6D-236EE9DED859}">
      <text>
        <r>
          <rPr>
            <b/>
            <sz val="9"/>
            <color indexed="81"/>
            <rFont val="Tahoma"/>
            <family val="2"/>
          </rPr>
          <t>MC:</t>
        </r>
        <r>
          <rPr>
            <sz val="9"/>
            <color indexed="81"/>
            <rFont val="Tahoma"/>
            <family val="2"/>
          </rPr>
          <t xml:space="preserve">
No se incluyel material que se emplea para la alimentacion</t>
        </r>
      </text>
    </comment>
    <comment ref="B62" authorId="1" shapeId="0" xr:uid="{D24020AE-2FFE-4D62-BA91-DB87AE8EFD27}">
      <text>
        <r>
          <rPr>
            <b/>
            <sz val="9"/>
            <color indexed="81"/>
            <rFont val="Tahoma"/>
            <family val="2"/>
          </rPr>
          <t>MC:</t>
        </r>
        <r>
          <rPr>
            <sz val="9"/>
            <color indexed="81"/>
            <rFont val="Tahoma"/>
            <family val="2"/>
          </rPr>
          <t xml:space="preserve">
Utilidad antes de Costos Admonistrativos</t>
        </r>
      </text>
    </comment>
    <comment ref="E62" authorId="1" shapeId="0" xr:uid="{A67F2467-62B3-4F22-9E63-13C002411F5D}">
      <text>
        <r>
          <rPr>
            <b/>
            <sz val="9"/>
            <color indexed="81"/>
            <rFont val="Tahoma"/>
            <family val="2"/>
          </rPr>
          <t>MC:</t>
        </r>
        <r>
          <rPr>
            <sz val="9"/>
            <color indexed="81"/>
            <rFont val="Tahoma"/>
            <family val="2"/>
          </rPr>
          <t xml:space="preserve">
Utilidad antes de Costos Admonistrativos</t>
        </r>
      </text>
    </comment>
    <comment ref="T62" authorId="1" shapeId="0" xr:uid="{E7E0E7C0-B21E-4B48-B5D3-9E7DC9BE5F48}">
      <text>
        <r>
          <rPr>
            <b/>
            <sz val="9"/>
            <color indexed="81"/>
            <rFont val="Tahoma"/>
            <family val="2"/>
          </rPr>
          <t>MC:</t>
        </r>
        <r>
          <rPr>
            <sz val="9"/>
            <color indexed="81"/>
            <rFont val="Tahoma"/>
            <family val="2"/>
          </rPr>
          <t xml:space="preserve">
Utilidad antes de Costos Admonistrativos</t>
        </r>
      </text>
    </comment>
    <comment ref="AI62" authorId="1" shapeId="0" xr:uid="{FAA65F4C-97BF-4D38-94F7-33927A356EA0}">
      <text>
        <r>
          <rPr>
            <b/>
            <sz val="9"/>
            <color indexed="81"/>
            <rFont val="Tahoma"/>
            <family val="2"/>
          </rPr>
          <t>MC:</t>
        </r>
        <r>
          <rPr>
            <sz val="9"/>
            <color indexed="81"/>
            <rFont val="Tahoma"/>
            <family val="2"/>
          </rPr>
          <t xml:space="preserve">
Utilidad antes de Costos Admonistrativos</t>
        </r>
      </text>
    </comment>
    <comment ref="AX62" authorId="1" shapeId="0" xr:uid="{CEB79D2F-3C44-492C-9C96-2C1585F0B842}">
      <text>
        <r>
          <rPr>
            <b/>
            <sz val="9"/>
            <color indexed="81"/>
            <rFont val="Tahoma"/>
            <family val="2"/>
          </rPr>
          <t>MC:</t>
        </r>
        <r>
          <rPr>
            <sz val="9"/>
            <color indexed="81"/>
            <rFont val="Tahoma"/>
            <family val="2"/>
          </rPr>
          <t xml:space="preserve">
Utilidad antes de Costos Admonistrativos</t>
        </r>
      </text>
    </comment>
    <comment ref="BM62" authorId="1" shapeId="0" xr:uid="{BEDD0E5B-C582-472F-B87F-A522C8119818}">
      <text>
        <r>
          <rPr>
            <b/>
            <sz val="9"/>
            <color indexed="81"/>
            <rFont val="Tahoma"/>
            <family val="2"/>
          </rPr>
          <t>MC:</t>
        </r>
        <r>
          <rPr>
            <sz val="9"/>
            <color indexed="81"/>
            <rFont val="Tahoma"/>
            <family val="2"/>
          </rPr>
          <t xml:space="preserve">
Utilidad antes de Costos Admonistrativos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MC</author>
    <author>INVESTIGACION1</author>
    <author>AGROECOLOGIA</author>
    <author>Marae</author>
  </authors>
  <commentList>
    <comment ref="P7" authorId="0" shapeId="0" xr:uid="{F2325ADA-28CD-438D-B2A9-741CFB9406EA}">
      <text>
        <r>
          <rPr>
            <b/>
            <sz val="9"/>
            <color indexed="81"/>
            <rFont val="Tahoma"/>
            <family val="2"/>
          </rPr>
          <t>MC:</t>
        </r>
        <r>
          <rPr>
            <sz val="9"/>
            <color indexed="81"/>
            <rFont val="Tahoma"/>
            <family val="2"/>
          </rPr>
          <t xml:space="preserve">
Vender el inventario de la miel para recuepar la perdiad acumulada</t>
        </r>
      </text>
    </comment>
    <comment ref="R7" authorId="0" shapeId="0" xr:uid="{6C5134E2-39D9-4090-A4BB-C912B61F7E7E}">
      <text>
        <r>
          <rPr>
            <b/>
            <sz val="9"/>
            <color indexed="81"/>
            <rFont val="Tahoma"/>
            <family val="2"/>
          </rPr>
          <t>MC:</t>
        </r>
        <r>
          <rPr>
            <sz val="9"/>
            <color indexed="81"/>
            <rFont val="Tahoma"/>
            <family val="2"/>
          </rPr>
          <t xml:space="preserve">
Utilidad mensual</t>
        </r>
      </text>
    </comment>
    <comment ref="N8" authorId="0" shapeId="0" xr:uid="{61C3F29B-5714-42BE-AC1E-FF41E83C481D}">
      <text>
        <r>
          <rPr>
            <b/>
            <sz val="9"/>
            <color indexed="81"/>
            <rFont val="Tahoma"/>
            <family val="2"/>
          </rPr>
          <t>MC:</t>
        </r>
        <r>
          <rPr>
            <sz val="9"/>
            <color indexed="81"/>
            <rFont val="Tahoma"/>
            <family val="2"/>
          </rPr>
          <t xml:space="preserve">
Precio prom. Ponderado</t>
        </r>
      </text>
    </comment>
    <comment ref="R8" authorId="0" shapeId="0" xr:uid="{9212FB19-964E-4625-A74C-A621026350D6}">
      <text>
        <r>
          <rPr>
            <b/>
            <sz val="9"/>
            <color indexed="81"/>
            <rFont val="Tahoma"/>
            <family val="2"/>
          </rPr>
          <t>MC:</t>
        </r>
        <r>
          <rPr>
            <sz val="9"/>
            <color indexed="81"/>
            <rFont val="Tahoma"/>
            <family val="2"/>
          </rPr>
          <t xml:space="preserve">
Utilidad Acumulada</t>
        </r>
      </text>
    </comment>
    <comment ref="R9" authorId="0" shapeId="0" xr:uid="{2A73EB95-FFC8-4429-B514-B6915D838F91}">
      <text>
        <r>
          <rPr>
            <b/>
            <sz val="9"/>
            <color indexed="81"/>
            <rFont val="Tahoma"/>
            <family val="2"/>
          </rPr>
          <t>MC:</t>
        </r>
        <r>
          <rPr>
            <sz val="9"/>
            <color indexed="81"/>
            <rFont val="Tahoma"/>
            <family val="2"/>
          </rPr>
          <t xml:space="preserve">
Para miel vendiendola a un precio por litro de $45. 
+(P8*45)</t>
        </r>
      </text>
    </comment>
    <comment ref="E11" authorId="0" shapeId="0" xr:uid="{9A920DEF-21DC-4951-9E50-06EB0936612F}">
      <text>
        <r>
          <rPr>
            <b/>
            <sz val="9"/>
            <color indexed="81"/>
            <rFont val="Tahoma"/>
            <family val="2"/>
          </rPr>
          <t>MC:</t>
        </r>
        <r>
          <rPr>
            <sz val="9"/>
            <color indexed="81"/>
            <rFont val="Tahoma"/>
            <family val="2"/>
          </rPr>
          <t xml:space="preserve">
Produccion de finales de dic que trasladamos para fines de reporte a enero</t>
        </r>
      </text>
    </comment>
    <comment ref="C13" authorId="0" shapeId="0" xr:uid="{918C581B-B0AD-4340-9D0E-696D9C390D45}">
      <text>
        <r>
          <rPr>
            <b/>
            <sz val="9"/>
            <color indexed="81"/>
            <rFont val="Tahoma"/>
            <family val="2"/>
          </rPr>
          <t>MC:</t>
        </r>
        <r>
          <rPr>
            <sz val="9"/>
            <color indexed="81"/>
            <rFont val="Tahoma"/>
            <family val="2"/>
          </rPr>
          <t xml:space="preserve">
BR-594
BR-596
BR-597
BR-599</t>
        </r>
      </text>
    </comment>
    <comment ref="E13" authorId="0" shapeId="0" xr:uid="{33FFCFB4-2FC2-45E6-A842-67D9854F1839}">
      <text>
        <r>
          <rPr>
            <b/>
            <sz val="9"/>
            <color indexed="81"/>
            <rFont val="Tahoma"/>
            <family val="2"/>
          </rPr>
          <t>MC:</t>
        </r>
        <r>
          <rPr>
            <sz val="9"/>
            <color indexed="81"/>
            <rFont val="Tahoma"/>
            <family val="2"/>
          </rPr>
          <t xml:space="preserve">
Se incluyen salidad de ultima sem de dic en ene23</t>
        </r>
      </text>
    </comment>
    <comment ref="O16" authorId="0" shapeId="0" xr:uid="{4E0F6DDB-3402-4874-89F0-6C332C613919}">
      <text>
        <r>
          <rPr>
            <b/>
            <sz val="9"/>
            <color indexed="81"/>
            <rFont val="Tahoma"/>
            <family val="2"/>
          </rPr>
          <t>MC:</t>
        </r>
        <r>
          <rPr>
            <sz val="9"/>
            <color indexed="81"/>
            <rFont val="Tahoma"/>
            <family val="2"/>
          </rPr>
          <t xml:space="preserve">
1085 ml inventario inicial de Enero</t>
        </r>
      </text>
    </comment>
    <comment ref="E17" authorId="1" shapeId="0" xr:uid="{21620DA2-4C1F-4EE7-BD31-122E7C5848F6}">
      <text>
        <r>
          <rPr>
            <b/>
            <sz val="9"/>
            <color indexed="81"/>
            <rFont val="Tahoma"/>
            <family val="2"/>
          </rPr>
          <t>INVESTIGACION1:</t>
        </r>
        <r>
          <rPr>
            <sz val="9"/>
            <color indexed="81"/>
            <rFont val="Tahoma"/>
            <family val="2"/>
          </rPr>
          <t xml:space="preserve">
Produccion  que se tenia en Almacen y se traslado para  Biorepelentes el día 07/06
</t>
        </r>
      </text>
    </comment>
    <comment ref="O17" authorId="0" shapeId="0" xr:uid="{5D9D03FC-E4E5-4730-B588-B109779B3401}">
      <text>
        <r>
          <rPr>
            <b/>
            <sz val="9"/>
            <color indexed="81"/>
            <rFont val="Tahoma"/>
            <family val="2"/>
          </rPr>
          <t>MC:</t>
        </r>
        <r>
          <rPr>
            <sz val="9"/>
            <color indexed="81"/>
            <rFont val="Tahoma"/>
            <family val="2"/>
          </rPr>
          <t xml:space="preserve">
Produccion  que se tenia en Almacen y se traslado para  Biorepelentes el día 07/06
</t>
        </r>
      </text>
    </comment>
    <comment ref="O18" authorId="0" shapeId="0" xr:uid="{2D47189A-3A08-4C73-BB3A-0E2790E6BB86}">
      <text>
        <r>
          <rPr>
            <b/>
            <sz val="9"/>
            <color indexed="81"/>
            <rFont val="Tahoma"/>
            <family val="2"/>
          </rPr>
          <t>MC:</t>
        </r>
        <r>
          <rPr>
            <sz val="9"/>
            <color indexed="81"/>
            <rFont val="Tahoma"/>
            <family val="2"/>
          </rPr>
          <t xml:space="preserve">
Inventario de Dic22</t>
        </r>
      </text>
    </comment>
    <comment ref="O19" authorId="0" shapeId="0" xr:uid="{78AEEC8B-84AF-4359-8881-8660C46CF047}">
      <text>
        <r>
          <rPr>
            <b/>
            <sz val="9"/>
            <color indexed="81"/>
            <rFont val="Tahoma"/>
            <family val="2"/>
          </rPr>
          <t>MC:</t>
        </r>
        <r>
          <rPr>
            <sz val="9"/>
            <color indexed="81"/>
            <rFont val="Tahoma"/>
            <family val="2"/>
          </rPr>
          <t xml:space="preserve">
Inventario final dic 2022
7,273.7</t>
        </r>
      </text>
    </comment>
    <comment ref="P21" authorId="0" shapeId="0" xr:uid="{ACA3BC5D-F996-44A6-AC93-1E19775DF5A8}">
      <text>
        <r>
          <rPr>
            <b/>
            <sz val="9"/>
            <color indexed="81"/>
            <rFont val="Tahoma"/>
            <family val="2"/>
          </rPr>
          <t>MC:</t>
        </r>
        <r>
          <rPr>
            <sz val="9"/>
            <color indexed="81"/>
            <rFont val="Tahoma"/>
            <family val="2"/>
          </rPr>
          <t xml:space="preserve">
Pitahayas</t>
        </r>
      </text>
    </comment>
    <comment ref="P37" authorId="0" shapeId="0" xr:uid="{01BB7207-884C-424B-92FF-849B58ECD133}">
      <text>
        <r>
          <rPr>
            <b/>
            <sz val="9"/>
            <color indexed="81"/>
            <rFont val="Tahoma"/>
            <family val="2"/>
          </rPr>
          <t>MC:</t>
        </r>
        <r>
          <rPr>
            <sz val="9"/>
            <color indexed="81"/>
            <rFont val="Tahoma"/>
            <family val="2"/>
          </rPr>
          <t xml:space="preserve">
3 L Cortesia Universidad Chapingo visita</t>
        </r>
      </text>
    </comment>
    <comment ref="M45" authorId="0" shapeId="0" xr:uid="{FAA68F73-C888-4F83-AC13-B9E6FE49CA45}">
      <text>
        <r>
          <rPr>
            <b/>
            <sz val="9"/>
            <color indexed="81"/>
            <rFont val="Tahoma"/>
            <family val="2"/>
          </rPr>
          <t>MC:</t>
        </r>
        <r>
          <rPr>
            <sz val="9"/>
            <color indexed="81"/>
            <rFont val="Tahoma"/>
            <family val="2"/>
          </rPr>
          <t xml:space="preserve">
Con este costo, cubro los costos de produccion pero no los cotsos totales</t>
        </r>
      </text>
    </comment>
    <comment ref="P47" authorId="0" shapeId="0" xr:uid="{2C4071A4-E9EC-405B-ADEA-DFF0114A2DD5}">
      <text>
        <r>
          <rPr>
            <b/>
            <sz val="9"/>
            <color indexed="81"/>
            <rFont val="Tahoma"/>
            <family val="2"/>
          </rPr>
          <t>MC:</t>
        </r>
        <r>
          <rPr>
            <sz val="9"/>
            <color indexed="81"/>
            <rFont val="Tahoma"/>
            <family val="2"/>
          </rPr>
          <t xml:space="preserve">
14 L Cortesia
Se  llevó miel a Mamá de SGT  a su casa , se entregarón 4 garrafas de miel ambar de 3.5 litros cada una</t>
        </r>
      </text>
    </comment>
    <comment ref="O48" authorId="0" shapeId="0" xr:uid="{066C3004-164B-48B2-9B66-C537AE0B9F5A}">
      <text>
        <r>
          <rPr>
            <b/>
            <sz val="9"/>
            <color indexed="81"/>
            <rFont val="Tahoma"/>
            <family val="2"/>
          </rPr>
          <t>MC:</t>
        </r>
        <r>
          <rPr>
            <sz val="9"/>
            <color indexed="81"/>
            <rFont val="Tahoma"/>
            <family val="2"/>
          </rPr>
          <t xml:space="preserve">
inluye hasta 31 ene</t>
        </r>
      </text>
    </comment>
    <comment ref="P49" authorId="0" shapeId="0" xr:uid="{48529947-EF9C-4ACA-9634-AD082E0CAAFF}">
      <text>
        <r>
          <rPr>
            <b/>
            <sz val="9"/>
            <color indexed="81"/>
            <rFont val="Tahoma"/>
            <family val="2"/>
          </rPr>
          <t>MC:</t>
        </r>
        <r>
          <rPr>
            <sz val="9"/>
            <color indexed="81"/>
            <rFont val="Tahoma"/>
            <family val="2"/>
          </rPr>
          <t xml:space="preserve">
inlcuye hasta el 31 ene</t>
        </r>
      </text>
    </comment>
    <comment ref="P50" authorId="0" shapeId="0" xr:uid="{FFB98C4E-1CB0-4530-AED0-FCAAC894FCCF}">
      <text>
        <r>
          <rPr>
            <b/>
            <sz val="9"/>
            <color indexed="81"/>
            <rFont val="Tahoma"/>
            <family val="2"/>
          </rPr>
          <t>MC:</t>
        </r>
        <r>
          <rPr>
            <sz val="9"/>
            <color indexed="81"/>
            <rFont val="Tahoma"/>
            <family val="2"/>
          </rPr>
          <t xml:space="preserve">
Uribsin</t>
        </r>
      </text>
    </comment>
    <comment ref="P51" authorId="0" shapeId="0" xr:uid="{E5A7579F-CF4A-4D13-8B88-B06A017F3A17}">
      <text>
        <r>
          <rPr>
            <b/>
            <sz val="9"/>
            <color indexed="81"/>
            <rFont val="Tahoma"/>
            <family val="2"/>
          </rPr>
          <t>MC:</t>
        </r>
        <r>
          <rPr>
            <sz val="9"/>
            <color indexed="81"/>
            <rFont val="Tahoma"/>
            <family val="2"/>
          </rPr>
          <t xml:space="preserve">
3,000 L Multiroot  ENE</t>
        </r>
      </text>
    </comment>
    <comment ref="P55" authorId="0" shapeId="0" xr:uid="{6251B7D3-5597-4B97-B94D-D51AEB83FFC5}">
      <text>
        <r>
          <rPr>
            <b/>
            <sz val="9"/>
            <color indexed="81"/>
            <rFont val="Tahoma"/>
            <family val="2"/>
          </rPr>
          <t>MC:</t>
        </r>
        <r>
          <rPr>
            <sz val="9"/>
            <color indexed="81"/>
            <rFont val="Tahoma"/>
            <family val="2"/>
          </rPr>
          <t xml:space="preserve">
Pitahaya</t>
        </r>
      </text>
    </comment>
    <comment ref="P62" authorId="0" shapeId="0" xr:uid="{B07A13BE-9DBD-43E3-8DE6-939ED91EB839}">
      <text>
        <r>
          <rPr>
            <b/>
            <sz val="9"/>
            <color indexed="81"/>
            <rFont val="Tahoma"/>
            <family val="2"/>
          </rPr>
          <t>MC:</t>
        </r>
        <r>
          <rPr>
            <sz val="9"/>
            <color indexed="81"/>
            <rFont val="Tahoma"/>
            <family val="2"/>
          </rPr>
          <t xml:space="preserve">
Uribsin</t>
        </r>
      </text>
    </comment>
    <comment ref="P70" authorId="0" shapeId="0" xr:uid="{B7CBD460-B633-41E2-B04C-27638E6E598F}">
      <text>
        <r>
          <rPr>
            <b/>
            <sz val="9"/>
            <color indexed="81"/>
            <rFont val="Tahoma"/>
            <family val="2"/>
          </rPr>
          <t>MC:</t>
        </r>
        <r>
          <rPr>
            <sz val="9"/>
            <color indexed="81"/>
            <rFont val="Tahoma"/>
            <family val="2"/>
          </rPr>
          <t xml:space="preserve">
Uribsin</t>
        </r>
      </text>
    </comment>
    <comment ref="P71" authorId="0" shapeId="0" xr:uid="{419E443C-A760-48DC-BC85-047A3BE11C65}">
      <text>
        <r>
          <rPr>
            <b/>
            <sz val="9"/>
            <color indexed="81"/>
            <rFont val="Tahoma"/>
            <family val="2"/>
          </rPr>
          <t>MC:</t>
        </r>
        <r>
          <rPr>
            <sz val="9"/>
            <color indexed="81"/>
            <rFont val="Tahoma"/>
            <family val="2"/>
          </rPr>
          <t xml:space="preserve">
18 L cortesia (don sigi y sra estela)
</t>
        </r>
      </text>
    </comment>
    <comment ref="P72" authorId="2" shapeId="0" xr:uid="{9D8FF36D-570A-4804-8A18-B39850875AAC}">
      <text>
        <r>
          <rPr>
            <b/>
            <sz val="9"/>
            <color indexed="81"/>
            <rFont val="Tahoma"/>
            <family val="2"/>
          </rPr>
          <t>AGROECOLOGIA:</t>
        </r>
        <r>
          <rPr>
            <sz val="9"/>
            <color indexed="81"/>
            <rFont val="Tahoma"/>
            <family val="2"/>
          </rPr>
          <t xml:space="preserve">
1 L control Biologico</t>
        </r>
      </text>
    </comment>
    <comment ref="P79" authorId="0" shapeId="0" xr:uid="{1F15D069-8C44-478B-BDDB-E756AF5FB7DE}">
      <text>
        <r>
          <rPr>
            <b/>
            <sz val="9"/>
            <color indexed="81"/>
            <rFont val="Tahoma"/>
            <family val="2"/>
          </rPr>
          <t>MC:</t>
        </r>
        <r>
          <rPr>
            <sz val="9"/>
            <color indexed="81"/>
            <rFont val="Tahoma"/>
            <family val="2"/>
          </rPr>
          <t xml:space="preserve">
Uribsin</t>
        </r>
      </text>
    </comment>
    <comment ref="O86" authorId="0" shapeId="0" xr:uid="{9D7291DB-278F-43D4-9097-5D57F586A67B}">
      <text>
        <r>
          <rPr>
            <b/>
            <sz val="9"/>
            <color indexed="81"/>
            <rFont val="Tahoma"/>
            <family val="2"/>
          </rPr>
          <t>MC:</t>
        </r>
        <r>
          <rPr>
            <sz val="9"/>
            <color indexed="81"/>
            <rFont val="Tahoma"/>
            <family val="2"/>
          </rPr>
          <t xml:space="preserve">
inlcuye hasta el 28 feb</t>
        </r>
      </text>
    </comment>
    <comment ref="P88" authorId="0" shapeId="0" xr:uid="{0D15F8AC-E7C5-4A0B-8F0C-3FCB19E967F9}">
      <text>
        <r>
          <rPr>
            <b/>
            <sz val="9"/>
            <color indexed="81"/>
            <rFont val="Tahoma"/>
            <family val="2"/>
          </rPr>
          <t>MC:</t>
        </r>
        <r>
          <rPr>
            <sz val="9"/>
            <color indexed="81"/>
            <rFont val="Tahoma"/>
            <family val="2"/>
          </rPr>
          <t xml:space="preserve">
Uribsin</t>
        </r>
      </text>
    </comment>
    <comment ref="P89" authorId="0" shapeId="0" xr:uid="{A1AEE7F9-C440-4FC4-9D1A-15C07E9B4879}">
      <text>
        <r>
          <rPr>
            <b/>
            <sz val="9"/>
            <color indexed="81"/>
            <rFont val="Tahoma"/>
            <family val="2"/>
          </rPr>
          <t>MC:</t>
        </r>
        <r>
          <rPr>
            <sz val="9"/>
            <color indexed="81"/>
            <rFont val="Tahoma"/>
            <family val="2"/>
          </rPr>
          <t xml:space="preserve">
3,100 L multiroot feb</t>
        </r>
      </text>
    </comment>
    <comment ref="I90" authorId="1" shapeId="0" xr:uid="{03ABEC75-EE85-4A33-800D-78673E5E5C1B}">
      <text>
        <r>
          <rPr>
            <sz val="8"/>
            <color indexed="81"/>
            <rFont val="Tahoma"/>
            <family val="2"/>
          </rPr>
          <t>Solicitud de 1,200 MRF
F-614 / 615</t>
        </r>
      </text>
    </comment>
    <comment ref="P101" authorId="0" shapeId="0" xr:uid="{222A9BE4-A5EF-42B3-B705-EFF9B03A8DDA}">
      <text>
        <r>
          <rPr>
            <b/>
            <sz val="9"/>
            <color indexed="81"/>
            <rFont val="Tahoma"/>
            <family val="2"/>
          </rPr>
          <t>MC:</t>
        </r>
        <r>
          <rPr>
            <sz val="9"/>
            <color indexed="81"/>
            <rFont val="Tahoma"/>
            <family val="2"/>
          </rPr>
          <t xml:space="preserve">
1 L control Biologico
6 mar sem.10</t>
        </r>
      </text>
    </comment>
    <comment ref="P111" authorId="0" shapeId="0" xr:uid="{46DF78D4-E452-42BB-837C-6370D25FD335}">
      <text>
        <r>
          <rPr>
            <b/>
            <sz val="9"/>
            <color indexed="81"/>
            <rFont val="Tahoma"/>
            <family val="2"/>
          </rPr>
          <t>MC:</t>
        </r>
        <r>
          <rPr>
            <sz val="9"/>
            <color indexed="81"/>
            <rFont val="Tahoma"/>
            <family val="2"/>
          </rPr>
          <t xml:space="preserve">
Uribsin</t>
        </r>
      </text>
    </comment>
    <comment ref="P137" authorId="0" shapeId="0" xr:uid="{5730EEAD-C73A-4CCA-B092-D967B271B286}">
      <text>
        <r>
          <rPr>
            <b/>
            <sz val="9"/>
            <color indexed="81"/>
            <rFont val="Tahoma"/>
            <family val="2"/>
          </rPr>
          <t>MC:</t>
        </r>
        <r>
          <rPr>
            <sz val="9"/>
            <color indexed="81"/>
            <rFont val="Tahoma"/>
            <family val="2"/>
          </rPr>
          <t xml:space="preserve">
Uribsin</t>
        </r>
      </text>
    </comment>
    <comment ref="P151" authorId="0" shapeId="0" xr:uid="{AF8CB9C5-43DC-444D-A216-68F734DAFBB8}">
      <text>
        <r>
          <rPr>
            <b/>
            <sz val="9"/>
            <color indexed="81"/>
            <rFont val="Tahoma"/>
            <family val="2"/>
          </rPr>
          <t>MC:</t>
        </r>
        <r>
          <rPr>
            <sz val="9"/>
            <color indexed="81"/>
            <rFont val="Tahoma"/>
            <family val="2"/>
          </rPr>
          <t xml:space="preserve">
6,000 L Multiroot Mar</t>
        </r>
      </text>
    </comment>
    <comment ref="P152" authorId="0" shapeId="0" xr:uid="{6BD2F3C6-96F6-4E66-B8CF-F999DA74025A}">
      <text>
        <r>
          <rPr>
            <b/>
            <sz val="9"/>
            <color indexed="81"/>
            <rFont val="Tahoma"/>
            <family val="2"/>
          </rPr>
          <t>MC:</t>
        </r>
        <r>
          <rPr>
            <sz val="9"/>
            <color indexed="81"/>
            <rFont val="Tahoma"/>
            <family val="2"/>
          </rPr>
          <t xml:space="preserve">
Polvorin1</t>
        </r>
      </text>
    </comment>
    <comment ref="P176" authorId="0" shapeId="0" xr:uid="{320B4790-BC85-48DF-A2DC-6FD849E45580}">
      <text>
        <r>
          <rPr>
            <b/>
            <sz val="9"/>
            <color indexed="81"/>
            <rFont val="Tahoma"/>
            <family val="2"/>
          </rPr>
          <t>MC:</t>
        </r>
        <r>
          <rPr>
            <sz val="9"/>
            <color indexed="81"/>
            <rFont val="Tahoma"/>
            <family val="2"/>
          </rPr>
          <t xml:space="preserve">
1 l cortesia Control Biologico</t>
        </r>
      </text>
    </comment>
    <comment ref="P188" authorId="0" shapeId="0" xr:uid="{5404F0AC-0C71-4432-B4F6-9A5E01FF0E09}">
      <text>
        <r>
          <rPr>
            <b/>
            <sz val="9"/>
            <color indexed="81"/>
            <rFont val="Tahoma"/>
            <family val="2"/>
          </rPr>
          <t>MC:</t>
        </r>
        <r>
          <rPr>
            <sz val="9"/>
            <color indexed="81"/>
            <rFont val="Tahoma"/>
            <family val="2"/>
          </rPr>
          <t xml:space="preserve">
Caminero</t>
        </r>
      </text>
    </comment>
    <comment ref="P196" authorId="0" shapeId="0" xr:uid="{69086BDD-82F6-41BE-8AE4-B670055017F4}">
      <text>
        <r>
          <rPr>
            <b/>
            <sz val="9"/>
            <color indexed="81"/>
            <rFont val="Tahoma"/>
            <family val="2"/>
          </rPr>
          <t>MC:</t>
        </r>
        <r>
          <rPr>
            <sz val="9"/>
            <color indexed="81"/>
            <rFont val="Tahoma"/>
            <family val="2"/>
          </rPr>
          <t xml:space="preserve">
2,000 L Multiroot  ABR</t>
        </r>
      </text>
    </comment>
    <comment ref="P209" authorId="0" shapeId="0" xr:uid="{AA1781E2-CF3F-4355-98AD-B14466DC1386}">
      <text>
        <r>
          <rPr>
            <b/>
            <sz val="9"/>
            <color indexed="81"/>
            <rFont val="Tahoma"/>
            <family val="2"/>
          </rPr>
          <t>MC:</t>
        </r>
        <r>
          <rPr>
            <sz val="9"/>
            <color indexed="81"/>
            <rFont val="Tahoma"/>
            <family val="2"/>
          </rPr>
          <t xml:space="preserve">
2,000 L Multiroot  May</t>
        </r>
      </text>
    </comment>
    <comment ref="P210" authorId="0" shapeId="0" xr:uid="{25D96C75-CB6D-4A95-96AA-FE702CB35FC3}">
      <text>
        <r>
          <rPr>
            <b/>
            <sz val="9"/>
            <color indexed="81"/>
            <rFont val="Tahoma"/>
            <family val="2"/>
          </rPr>
          <t>MC:</t>
        </r>
        <r>
          <rPr>
            <sz val="9"/>
            <color indexed="81"/>
            <rFont val="Tahoma"/>
            <family val="2"/>
          </rPr>
          <t xml:space="preserve">
10,000 Lindero f10597
6,000 Planta B f11977</t>
        </r>
      </text>
    </comment>
    <comment ref="P221" authorId="0" shapeId="0" xr:uid="{AA8EF5D9-50CA-4DAF-A323-5A7BD664B256}">
      <text>
        <r>
          <rPr>
            <b/>
            <sz val="9"/>
            <color indexed="81"/>
            <rFont val="Tahoma"/>
            <family val="2"/>
          </rPr>
          <t>MC:</t>
        </r>
        <r>
          <rPr>
            <sz val="9"/>
            <color indexed="81"/>
            <rFont val="Tahoma"/>
            <family val="2"/>
          </rPr>
          <t xml:space="preserve">
6,000 Planta B f11977</t>
        </r>
      </text>
    </comment>
    <comment ref="P223" authorId="0" shapeId="0" xr:uid="{01EBF07C-5666-4BF7-8800-6B7AC4442475}">
      <text>
        <r>
          <rPr>
            <b/>
            <sz val="9"/>
            <color indexed="81"/>
            <rFont val="Tahoma"/>
            <family val="2"/>
          </rPr>
          <t xml:space="preserve">MC:
</t>
        </r>
        <r>
          <rPr>
            <sz val="9"/>
            <color indexed="81"/>
            <rFont val="Tahoma"/>
            <family val="2"/>
          </rPr>
          <t xml:space="preserve">
1 L cortesia Lab Crisopas</t>
        </r>
      </text>
    </comment>
    <comment ref="P226" authorId="0" shapeId="0" xr:uid="{BCBE876F-085E-4A20-95DC-7D9AFB2F1086}">
      <text>
        <r>
          <rPr>
            <b/>
            <sz val="9"/>
            <color indexed="81"/>
            <rFont val="Tahoma"/>
            <family val="2"/>
          </rPr>
          <t>MC:</t>
        </r>
        <r>
          <rPr>
            <sz val="9"/>
            <color indexed="81"/>
            <rFont val="Tahoma"/>
            <family val="2"/>
          </rPr>
          <t xml:space="preserve">
15,000 Santa Amalia
5,000 Santa Amalia</t>
        </r>
      </text>
    </comment>
    <comment ref="P232" authorId="0" shapeId="0" xr:uid="{2F457D84-2A44-476A-BAC4-F1366CDD4DE7}">
      <text>
        <r>
          <rPr>
            <b/>
            <sz val="9"/>
            <color indexed="81"/>
            <rFont val="Tahoma"/>
            <family val="2"/>
          </rPr>
          <t>MC:</t>
        </r>
        <r>
          <rPr>
            <sz val="9"/>
            <color indexed="81"/>
            <rFont val="Tahoma"/>
            <family val="2"/>
          </rPr>
          <t xml:space="preserve">
BANAMARES S.P.R &gt; (250 ml)</t>
        </r>
      </text>
    </comment>
    <comment ref="P234" authorId="0" shapeId="0" xr:uid="{71D33E5B-0399-4765-ACB3-B24BD9776652}">
      <text>
        <r>
          <rPr>
            <b/>
            <sz val="9"/>
            <color indexed="81"/>
            <rFont val="Tahoma"/>
            <family val="2"/>
          </rPr>
          <t>MC:</t>
        </r>
        <r>
          <rPr>
            <sz val="9"/>
            <color indexed="81"/>
            <rFont val="Tahoma"/>
            <family val="2"/>
          </rPr>
          <t xml:space="preserve">
San Miguel 4,000 f11986
San Miguel 4,000 f11986</t>
        </r>
      </text>
    </comment>
    <comment ref="P236" authorId="0" shapeId="0" xr:uid="{D6D5FA15-7C9E-47C4-A37E-8B0B0A25ABF3}">
      <text>
        <r>
          <rPr>
            <b/>
            <sz val="9"/>
            <color indexed="81"/>
            <rFont val="Tahoma"/>
            <family val="2"/>
          </rPr>
          <t>MC:</t>
        </r>
        <r>
          <rPr>
            <sz val="9"/>
            <color indexed="81"/>
            <rFont val="Tahoma"/>
            <family val="2"/>
          </rPr>
          <t xml:space="preserve">
Kairo A [Mx]</t>
        </r>
      </text>
    </comment>
    <comment ref="O240" authorId="0" shapeId="0" xr:uid="{ACED2757-5330-40B3-BAFA-8338EA9B8CDA}">
      <text>
        <r>
          <rPr>
            <b/>
            <sz val="9"/>
            <color indexed="81"/>
            <rFont val="Tahoma"/>
            <family val="2"/>
          </rPr>
          <t>MC:</t>
        </r>
        <r>
          <rPr>
            <sz val="9"/>
            <color indexed="81"/>
            <rFont val="Tahoma"/>
            <family val="2"/>
          </rPr>
          <t xml:space="preserve">
9 camas inicios junio de aprox 6 ton/cama</t>
        </r>
      </text>
    </comment>
    <comment ref="P244" authorId="0" shapeId="0" xr:uid="{8E599E33-C0BC-4BC2-A886-91FFFCFE894C}">
      <text>
        <r>
          <rPr>
            <b/>
            <sz val="9"/>
            <color indexed="81"/>
            <rFont val="Tahoma"/>
            <family val="2"/>
          </rPr>
          <t>MC:</t>
        </r>
        <r>
          <rPr>
            <sz val="9"/>
            <color indexed="81"/>
            <rFont val="Tahoma"/>
            <family val="2"/>
          </rPr>
          <t xml:space="preserve">
limones Pitahayas</t>
        </r>
      </text>
    </comment>
    <comment ref="O246" authorId="0" shapeId="0" xr:uid="{5BA393DC-AD40-4357-AA29-246DE51FE93D}">
      <text>
        <r>
          <rPr>
            <b/>
            <sz val="9"/>
            <color indexed="81"/>
            <rFont val="Tahoma"/>
            <family val="2"/>
          </rPr>
          <t xml:space="preserve">MC:
</t>
        </r>
        <r>
          <rPr>
            <sz val="9"/>
            <color indexed="81"/>
            <rFont val="Tahoma"/>
            <family val="2"/>
          </rPr>
          <t>Prod. 1,000 L
merma prod. 60 L, entran 
940L</t>
        </r>
      </text>
    </comment>
    <comment ref="P250" authorId="0" shapeId="0" xr:uid="{13873902-5239-4F6E-802E-2873E2533CC4}">
      <text>
        <r>
          <rPr>
            <b/>
            <sz val="9"/>
            <color indexed="81"/>
            <rFont val="Tahoma"/>
            <family val="2"/>
          </rPr>
          <t>MC:</t>
        </r>
        <r>
          <rPr>
            <sz val="9"/>
            <color indexed="81"/>
            <rFont val="Tahoma"/>
            <family val="2"/>
          </rPr>
          <t xml:space="preserve">
Se entrego miel en Sicar con Yoshira para el señor Sigifredo Gudiño, esta miel no se cobra, pasa por ella Jorge Contreras</t>
        </r>
      </text>
    </comment>
    <comment ref="P257" authorId="0" shapeId="0" xr:uid="{9AEA1ED0-8606-425A-ADAA-26CBA7F42E2F}">
      <text>
        <r>
          <rPr>
            <b/>
            <sz val="9"/>
            <color indexed="81"/>
            <rFont val="Tahoma"/>
            <family val="2"/>
          </rPr>
          <t>MC:</t>
        </r>
        <r>
          <rPr>
            <sz val="9"/>
            <color indexed="81"/>
            <rFont val="Tahoma"/>
            <family val="2"/>
          </rPr>
          <t xml:space="preserve">
San Lorenzo A [Persa]</t>
        </r>
      </text>
    </comment>
    <comment ref="P274" authorId="0" shapeId="0" xr:uid="{EBFC5A3F-7506-476A-86A9-33D84779DE44}">
      <text>
        <r>
          <rPr>
            <b/>
            <sz val="9"/>
            <color indexed="81"/>
            <rFont val="Tahoma"/>
            <family val="2"/>
          </rPr>
          <t>MC:</t>
        </r>
        <r>
          <rPr>
            <sz val="9"/>
            <color indexed="81"/>
            <rFont val="Tahoma"/>
            <family val="2"/>
          </rPr>
          <t xml:space="preserve">
4,000 L multiroot</t>
        </r>
      </text>
    </comment>
    <comment ref="P276" authorId="0" shapeId="0" xr:uid="{34EACD0E-71E1-41CB-851A-EF4B13D268C0}">
      <text>
        <r>
          <rPr>
            <b/>
            <sz val="9"/>
            <color indexed="81"/>
            <rFont val="Tahoma"/>
            <family val="2"/>
          </rPr>
          <t xml:space="preserve">MC:
</t>
        </r>
        <r>
          <rPr>
            <sz val="9"/>
            <color indexed="81"/>
            <rFont val="Tahoma"/>
            <family val="2"/>
          </rPr>
          <t xml:space="preserve">
1 L cortesia Lab Crisopas</t>
        </r>
      </text>
    </comment>
    <comment ref="P277" authorId="0" shapeId="0" xr:uid="{9C8BD6FF-1BF6-4ADC-AA89-A70744F2C1B3}">
      <text>
        <r>
          <rPr>
            <b/>
            <sz val="9"/>
            <color indexed="81"/>
            <rFont val="Tahoma"/>
            <family val="2"/>
          </rPr>
          <t>MC:</t>
        </r>
        <r>
          <rPr>
            <sz val="9"/>
            <color indexed="81"/>
            <rFont val="Tahoma"/>
            <family val="2"/>
          </rPr>
          <t xml:space="preserve">
Kairo A [Mx]</t>
        </r>
      </text>
    </comment>
    <comment ref="P287" authorId="0" shapeId="0" xr:uid="{4320EA36-B33E-4F5C-BDEE-54F70644BE85}">
      <text>
        <r>
          <rPr>
            <b/>
            <sz val="9"/>
            <color indexed="81"/>
            <rFont val="Tahoma"/>
            <family val="2"/>
          </rPr>
          <t>MC:</t>
        </r>
        <r>
          <rPr>
            <sz val="9"/>
            <color indexed="81"/>
            <rFont val="Tahoma"/>
            <family val="2"/>
          </rPr>
          <t xml:space="preserve">
1,000 L de Multiroot</t>
        </r>
      </text>
    </comment>
    <comment ref="P298" authorId="0" shapeId="0" xr:uid="{9D3C4FD4-8F3D-4469-AD07-21B2875E56EB}">
      <text>
        <r>
          <rPr>
            <b/>
            <sz val="9"/>
            <color indexed="81"/>
            <rFont val="Tahoma"/>
            <family val="2"/>
          </rPr>
          <t>MC:</t>
        </r>
        <r>
          <rPr>
            <sz val="9"/>
            <color indexed="81"/>
            <rFont val="Tahoma"/>
            <family val="2"/>
          </rPr>
          <t xml:space="preserve">
Kairo A [Mx]</t>
        </r>
      </text>
    </comment>
    <comment ref="P299" authorId="0" shapeId="0" xr:uid="{A9E0D9C2-5989-4CCE-9BFA-614D72ADFC5B}">
      <text>
        <r>
          <rPr>
            <b/>
            <sz val="9"/>
            <color indexed="81"/>
            <rFont val="Tahoma"/>
            <family val="2"/>
          </rPr>
          <t>MC:</t>
        </r>
        <r>
          <rPr>
            <sz val="9"/>
            <color indexed="81"/>
            <rFont val="Tahoma"/>
            <family val="2"/>
          </rPr>
          <t xml:space="preserve">
Mocambo A [Persa]</t>
        </r>
      </text>
    </comment>
    <comment ref="P302" authorId="1" shapeId="0" xr:uid="{26587783-A63F-4EE9-8D89-60C83E87EB57}">
      <text>
        <r>
          <rPr>
            <b/>
            <sz val="9"/>
            <color indexed="81"/>
            <rFont val="Tahoma"/>
            <family val="2"/>
          </rPr>
          <t>INVESTIGACION1:</t>
        </r>
        <r>
          <rPr>
            <sz val="9"/>
            <color indexed="81"/>
            <rFont val="Tahoma"/>
            <family val="2"/>
          </rPr>
          <t xml:space="preserve">
Se cambio garrafa rota en almacen</t>
        </r>
      </text>
    </comment>
    <comment ref="P307" authorId="0" shapeId="0" xr:uid="{24C60D25-9667-470A-84D4-92387099858E}">
      <text>
        <r>
          <rPr>
            <b/>
            <sz val="9"/>
            <color indexed="81"/>
            <rFont val="Tahoma"/>
            <family val="2"/>
          </rPr>
          <t>MC:</t>
        </r>
        <r>
          <rPr>
            <sz val="9"/>
            <color indexed="81"/>
            <rFont val="Tahoma"/>
            <family val="2"/>
          </rPr>
          <t xml:space="preserve">
1,000 L de Multiroot</t>
        </r>
      </text>
    </comment>
    <comment ref="P320" authorId="0" shapeId="0" xr:uid="{DD1A25EF-74E6-4266-B117-F43D6AF1E623}">
      <text>
        <r>
          <rPr>
            <b/>
            <sz val="9"/>
            <color indexed="81"/>
            <rFont val="Tahoma"/>
            <family val="2"/>
          </rPr>
          <t>MC:</t>
        </r>
        <r>
          <rPr>
            <sz val="9"/>
            <color indexed="81"/>
            <rFont val="Tahoma"/>
            <family val="2"/>
          </rPr>
          <t xml:space="preserve">
80 L nos los presto Almacen</t>
        </r>
      </text>
    </comment>
    <comment ref="P329" authorId="0" shapeId="0" xr:uid="{D8CCF44B-FBF5-49E3-A9CB-B2030886C932}">
      <text>
        <r>
          <rPr>
            <b/>
            <sz val="9"/>
            <color indexed="81"/>
            <rFont val="Tahoma"/>
            <family val="2"/>
          </rPr>
          <t>MC:</t>
        </r>
        <r>
          <rPr>
            <sz val="9"/>
            <color indexed="81"/>
            <rFont val="Tahoma"/>
            <family val="2"/>
          </rPr>
          <t xml:space="preserve">
Mocambo A [Persa]</t>
        </r>
      </text>
    </comment>
    <comment ref="P330" authorId="0" shapeId="0" xr:uid="{E60752A3-B252-432B-A684-10F777900E96}">
      <text>
        <r>
          <rPr>
            <b/>
            <sz val="9"/>
            <color indexed="81"/>
            <rFont val="Tahoma"/>
            <family val="2"/>
          </rPr>
          <t>MC:</t>
        </r>
        <r>
          <rPr>
            <sz val="9"/>
            <color indexed="81"/>
            <rFont val="Tahoma"/>
            <family val="2"/>
          </rPr>
          <t xml:space="preserve">
Muestra de muel Solicitada por Saibet para posible cliente (6 envases de 250 ml c/u)</t>
        </r>
      </text>
    </comment>
    <comment ref="P331" authorId="0" shapeId="0" xr:uid="{C19079CE-1D56-46AC-BE7E-35D425CCC011}">
      <text>
        <r>
          <rPr>
            <b/>
            <sz val="9"/>
            <color indexed="81"/>
            <rFont val="Tahoma"/>
            <family val="2"/>
          </rPr>
          <t>MC:</t>
        </r>
        <r>
          <rPr>
            <sz val="9"/>
            <color indexed="81"/>
            <rFont val="Tahoma"/>
            <family val="2"/>
          </rPr>
          <t xml:space="preserve">
La miel se entregó en recepción de Sicar</t>
        </r>
      </text>
    </comment>
    <comment ref="P336" authorId="0" shapeId="0" xr:uid="{912AD00C-078C-4FBB-B8EE-4316ECFC303D}">
      <text>
        <r>
          <rPr>
            <b/>
            <sz val="9"/>
            <color indexed="81"/>
            <rFont val="Tahoma"/>
            <family val="2"/>
          </rPr>
          <t>MC:</t>
        </r>
        <r>
          <rPr>
            <sz val="9"/>
            <color indexed="81"/>
            <rFont val="Tahoma"/>
            <family val="2"/>
          </rPr>
          <t xml:space="preserve">
Pampas maiz</t>
        </r>
      </text>
    </comment>
    <comment ref="P337" authorId="0" shapeId="0" xr:uid="{72F6C03A-57B0-4D51-83CE-8CCA996BF9A6}">
      <text>
        <r>
          <rPr>
            <b/>
            <sz val="9"/>
            <color indexed="81"/>
            <rFont val="Tahoma"/>
            <family val="2"/>
          </rPr>
          <t>MC:</t>
        </r>
        <r>
          <rPr>
            <sz val="9"/>
            <color indexed="81"/>
            <rFont val="Tahoma"/>
            <family val="2"/>
          </rPr>
          <t xml:space="preserve">
2,000 L de Multifoot</t>
        </r>
      </text>
    </comment>
    <comment ref="P345" authorId="0" shapeId="0" xr:uid="{AA1C3603-C5F8-4D23-8A3B-CC5EA1381538}">
      <text>
        <r>
          <rPr>
            <b/>
            <sz val="9"/>
            <color indexed="81"/>
            <rFont val="Tahoma"/>
            <family val="2"/>
          </rPr>
          <t>MC:</t>
        </r>
        <r>
          <rPr>
            <sz val="9"/>
            <color indexed="81"/>
            <rFont val="Tahoma"/>
            <family val="2"/>
          </rPr>
          <t xml:space="preserve">
miel se entregó a Yoshira en recepción en Sicar</t>
        </r>
      </text>
    </comment>
    <comment ref="P351" authorId="0" shapeId="0" xr:uid="{B0212105-2071-43C8-ABBC-B56F79D32A48}">
      <text>
        <r>
          <rPr>
            <b/>
            <sz val="9"/>
            <color indexed="81"/>
            <rFont val="Tahoma"/>
            <family val="2"/>
          </rPr>
          <t>MC:</t>
        </r>
        <r>
          <rPr>
            <sz val="9"/>
            <color indexed="81"/>
            <rFont val="Tahoma"/>
            <family val="2"/>
          </rPr>
          <t xml:space="preserve">
1,000 L de Multiroot</t>
        </r>
      </text>
    </comment>
    <comment ref="P352" authorId="0" shapeId="0" xr:uid="{3C213ACE-3A53-47B0-AA7A-36B5DE9B1502}">
      <text>
        <r>
          <rPr>
            <b/>
            <sz val="9"/>
            <color indexed="81"/>
            <rFont val="Tahoma"/>
            <family val="2"/>
          </rPr>
          <t>MC:</t>
        </r>
        <r>
          <rPr>
            <sz val="9"/>
            <color indexed="81"/>
            <rFont val="Tahoma"/>
            <family val="2"/>
          </rPr>
          <t xml:space="preserve">
Las Piedras 1 [Mx]
Vivero</t>
        </r>
      </text>
    </comment>
    <comment ref="P357" authorId="0" shapeId="0" xr:uid="{7CE628F1-1405-4E7E-8618-5479AC1A8928}">
      <text>
        <r>
          <rPr>
            <b/>
            <sz val="9"/>
            <color indexed="81"/>
            <rFont val="Tahoma"/>
            <family val="2"/>
          </rPr>
          <t>MC:</t>
        </r>
        <r>
          <rPr>
            <sz val="9"/>
            <color indexed="81"/>
            <rFont val="Tahoma"/>
            <family val="2"/>
          </rPr>
          <t xml:space="preserve">
San Miguel Ojo de Agua 1 [Persa]</t>
        </r>
      </text>
    </comment>
    <comment ref="P368" authorId="0" shapeId="0" xr:uid="{BBA5E4B7-61E2-4672-A927-1A4DAB45A423}">
      <text>
        <r>
          <rPr>
            <b/>
            <sz val="9"/>
            <color indexed="81"/>
            <rFont val="Tahoma"/>
            <family val="2"/>
          </rPr>
          <t>MC:</t>
        </r>
        <r>
          <rPr>
            <sz val="9"/>
            <color indexed="81"/>
            <rFont val="Tahoma"/>
            <family val="2"/>
          </rPr>
          <t xml:space="preserve">
Se proporcionaron de Almacen para entrega a Yucatan</t>
        </r>
      </text>
    </comment>
    <comment ref="P369" authorId="0" shapeId="0" xr:uid="{AD751DBB-FD14-458C-8886-79AD1D2E5C27}">
      <text>
        <r>
          <rPr>
            <b/>
            <sz val="9"/>
            <color indexed="81"/>
            <rFont val="Tahoma"/>
            <family val="2"/>
          </rPr>
          <t>MC:</t>
        </r>
        <r>
          <rPr>
            <sz val="9"/>
            <color indexed="81"/>
            <rFont val="Tahoma"/>
            <family val="2"/>
          </rPr>
          <t xml:space="preserve">
Envio a Yucatan</t>
        </r>
      </text>
    </comment>
    <comment ref="P370" authorId="0" shapeId="0" xr:uid="{0E1CF5B6-170D-4047-BC60-CDD730F9BD86}">
      <text>
        <r>
          <rPr>
            <b/>
            <sz val="9"/>
            <color indexed="81"/>
            <rFont val="Tahoma"/>
            <family val="2"/>
          </rPr>
          <t>MC:</t>
        </r>
        <r>
          <rPr>
            <sz val="9"/>
            <color indexed="81"/>
            <rFont val="Tahoma"/>
            <family val="2"/>
          </rPr>
          <t xml:space="preserve">
Prestamo para Yuatan</t>
        </r>
      </text>
    </comment>
    <comment ref="P371" authorId="0" shapeId="0" xr:uid="{911B4AC8-DEE5-4355-B037-EAF86367EC35}">
      <text>
        <r>
          <rPr>
            <b/>
            <sz val="9"/>
            <color indexed="81"/>
            <rFont val="Tahoma"/>
            <family val="2"/>
          </rPr>
          <t>MC:</t>
        </r>
        <r>
          <rPr>
            <sz val="9"/>
            <color indexed="81"/>
            <rFont val="Tahoma"/>
            <family val="2"/>
          </rPr>
          <t xml:space="preserve">
Envio para Yucatan</t>
        </r>
      </text>
    </comment>
    <comment ref="P372" authorId="0" shapeId="0" xr:uid="{112E7EDA-6283-4239-8C36-3093E2D09CFA}">
      <text>
        <r>
          <rPr>
            <b/>
            <sz val="9"/>
            <color indexed="81"/>
            <rFont val="Tahoma"/>
            <family val="2"/>
          </rPr>
          <t>MC:</t>
        </r>
        <r>
          <rPr>
            <sz val="9"/>
            <color indexed="81"/>
            <rFont val="Tahoma"/>
            <family val="2"/>
          </rPr>
          <t xml:space="preserve">
prestamo para yucatan</t>
        </r>
      </text>
    </comment>
    <comment ref="P373" authorId="0" shapeId="0" xr:uid="{270E0387-F757-44D7-A038-F5CA717DB376}">
      <text>
        <r>
          <rPr>
            <b/>
            <sz val="9"/>
            <color indexed="81"/>
            <rFont val="Tahoma"/>
            <family val="2"/>
          </rPr>
          <t>MC:</t>
        </r>
        <r>
          <rPr>
            <sz val="9"/>
            <color indexed="81"/>
            <rFont val="Tahoma"/>
            <family val="2"/>
          </rPr>
          <t xml:space="preserve">
envio a yucatan</t>
        </r>
      </text>
    </comment>
    <comment ref="P382" authorId="0" shapeId="0" xr:uid="{FAD19D04-DE1C-4292-8B46-B832E87A27E5}">
      <text>
        <r>
          <rPr>
            <b/>
            <sz val="9"/>
            <color indexed="81"/>
            <rFont val="Tahoma"/>
            <family val="2"/>
          </rPr>
          <t>MC:</t>
        </r>
        <r>
          <rPr>
            <sz val="9"/>
            <color indexed="81"/>
            <rFont val="Tahoma"/>
            <family val="2"/>
          </rPr>
          <t xml:space="preserve">
Para Citrojugo</t>
        </r>
      </text>
    </comment>
    <comment ref="P387" authorId="0" shapeId="0" xr:uid="{D3875A03-8DDC-49E6-A4C0-7D7DD93BADC2}">
      <text>
        <r>
          <rPr>
            <b/>
            <sz val="9"/>
            <color indexed="81"/>
            <rFont val="Tahoma"/>
            <family val="2"/>
          </rPr>
          <t>MC:</t>
        </r>
        <r>
          <rPr>
            <sz val="9"/>
            <color indexed="81"/>
            <rFont val="Tahoma"/>
            <family val="2"/>
          </rPr>
          <t xml:space="preserve">
Santa Amalia A [Persa]
Coquimatlan A [Persa]</t>
        </r>
      </text>
    </comment>
    <comment ref="P398" authorId="0" shapeId="0" xr:uid="{DBA8A6C9-C01F-4DA2-AE25-2087682B59D6}">
      <text>
        <r>
          <rPr>
            <b/>
            <sz val="9"/>
            <color indexed="81"/>
            <rFont val="Tahoma"/>
            <family val="2"/>
          </rPr>
          <t>MC:</t>
        </r>
        <r>
          <rPr>
            <sz val="9"/>
            <color indexed="81"/>
            <rFont val="Tahoma"/>
            <family val="2"/>
          </rPr>
          <t xml:space="preserve">
Se entrego a SICAR</t>
        </r>
      </text>
    </comment>
    <comment ref="P406" authorId="0" shapeId="0" xr:uid="{72FF0B70-37FF-4FED-85D3-16E1180D7A17}">
      <text>
        <r>
          <rPr>
            <b/>
            <sz val="9"/>
            <color indexed="81"/>
            <rFont val="Tahoma"/>
            <family val="2"/>
          </rPr>
          <t>MC:</t>
        </r>
        <r>
          <rPr>
            <sz val="9"/>
            <color indexed="81"/>
            <rFont val="Tahoma"/>
            <family val="2"/>
          </rPr>
          <t xml:space="preserve">
Nos lo presto Almacen para cubrir la entrega a Veracruz</t>
        </r>
      </text>
    </comment>
    <comment ref="P407" authorId="0" shapeId="0" xr:uid="{476A3A20-9DFC-4281-A654-1F5D56EFEBAB}">
      <text>
        <r>
          <rPr>
            <b/>
            <sz val="9"/>
            <color indexed="81"/>
            <rFont val="Tahoma"/>
            <family val="2"/>
          </rPr>
          <t>MC:</t>
        </r>
        <r>
          <rPr>
            <sz val="9"/>
            <color indexed="81"/>
            <rFont val="Tahoma"/>
            <family val="2"/>
          </rPr>
          <t xml:space="preserve">
Entrega a Veracruz</t>
        </r>
      </text>
    </comment>
    <comment ref="P414" authorId="0" shapeId="0" xr:uid="{62DB59DF-5905-45B5-AE5F-44E394B82C3B}">
      <text>
        <r>
          <rPr>
            <b/>
            <sz val="9"/>
            <color indexed="81"/>
            <rFont val="Tahoma"/>
            <family val="2"/>
          </rPr>
          <t>MC:</t>
        </r>
        <r>
          <rPr>
            <sz val="9"/>
            <color indexed="81"/>
            <rFont val="Tahoma"/>
            <family val="2"/>
          </rPr>
          <t xml:space="preserve">
2,000 L de Multifoot</t>
        </r>
      </text>
    </comment>
    <comment ref="P415" authorId="0" shapeId="0" xr:uid="{3F90F1D8-9DFD-4075-9477-7A47B998C085}">
      <text>
        <r>
          <rPr>
            <b/>
            <sz val="9"/>
            <color indexed="81"/>
            <rFont val="Tahoma"/>
            <family val="2"/>
          </rPr>
          <t>MC:</t>
        </r>
        <r>
          <rPr>
            <sz val="9"/>
            <color indexed="81"/>
            <rFont val="Tahoma"/>
            <family val="2"/>
          </rPr>
          <t xml:space="preserve">
Devolucion del ptamo de almacen por entrega a Veracruz</t>
        </r>
      </text>
    </comment>
    <comment ref="P417" authorId="0" shapeId="0" xr:uid="{3F5C71B0-597C-4EC7-A880-48C1E1772F2B}">
      <text>
        <r>
          <rPr>
            <b/>
            <sz val="9"/>
            <color indexed="81"/>
            <rFont val="Tahoma"/>
            <family val="2"/>
          </rPr>
          <t>MC:</t>
        </r>
        <r>
          <rPr>
            <sz val="9"/>
            <color indexed="81"/>
            <rFont val="Tahoma"/>
            <family val="2"/>
          </rPr>
          <t xml:space="preserve">
Se entregó miel a casa del señor sigifredo esta miel no se cobra</t>
        </r>
      </text>
    </comment>
    <comment ref="P418" authorId="0" shapeId="0" xr:uid="{00FFD3ED-CB73-4B62-A859-BB4E8A0A7789}">
      <text>
        <r>
          <rPr>
            <b/>
            <sz val="9"/>
            <color indexed="81"/>
            <rFont val="Tahoma"/>
            <family val="2"/>
          </rPr>
          <t>MC:</t>
        </r>
        <r>
          <rPr>
            <sz val="9"/>
            <color indexed="81"/>
            <rFont val="Tahoma"/>
            <family val="2"/>
          </rPr>
          <t xml:space="preserve">
Se entregó miel para dieta de crisopas al laboratorio de control biologico, esta miel no se cobra</t>
        </r>
      </text>
    </comment>
    <comment ref="P425" authorId="0" shapeId="0" xr:uid="{625EF17F-118B-470D-A9B0-4FDBA6B93B50}">
      <text>
        <r>
          <rPr>
            <b/>
            <sz val="9"/>
            <color indexed="81"/>
            <rFont val="Tahoma"/>
            <family val="2"/>
          </rPr>
          <t>MC:</t>
        </r>
        <r>
          <rPr>
            <sz val="9"/>
            <color indexed="81"/>
            <rFont val="Tahoma"/>
            <family val="2"/>
          </rPr>
          <t xml:space="preserve">
34 sicar 
2 venta publico general</t>
        </r>
      </text>
    </comment>
    <comment ref="P430" authorId="0" shapeId="0" xr:uid="{53CBA8F4-2FA5-4E95-857E-159FC1F66F92}">
      <text>
        <r>
          <rPr>
            <b/>
            <sz val="9"/>
            <color indexed="81"/>
            <rFont val="Tahoma"/>
            <family val="2"/>
          </rPr>
          <t>MC:</t>
        </r>
        <r>
          <rPr>
            <sz val="9"/>
            <color indexed="81"/>
            <rFont val="Tahoma"/>
            <family val="2"/>
          </rPr>
          <t xml:space="preserve">
30 Citrojugo
40 SICAR</t>
        </r>
      </text>
    </comment>
    <comment ref="P431" authorId="3" shapeId="0" xr:uid="{066C829B-1F10-4F86-86AE-B21191095FA3}">
      <text>
        <r>
          <rPr>
            <b/>
            <sz val="9"/>
            <color indexed="81"/>
            <rFont val="Tahoma"/>
            <family val="2"/>
          </rPr>
          <t>Marae:</t>
        </r>
        <r>
          <rPr>
            <sz val="9"/>
            <color indexed="81"/>
            <rFont val="Tahoma"/>
            <family val="2"/>
          </rPr>
          <t xml:space="preserve">
No se cobraron 200 ml de Roberto Padilla El Caminero</t>
        </r>
      </text>
    </comment>
    <comment ref="P433" authorId="0" shapeId="0" xr:uid="{5E8E79BC-853B-40B5-AF34-F30273326D7C}">
      <text>
        <r>
          <rPr>
            <b/>
            <sz val="9"/>
            <color indexed="81"/>
            <rFont val="Tahoma"/>
            <family val="2"/>
          </rPr>
          <t>MC:</t>
        </r>
        <r>
          <rPr>
            <sz val="9"/>
            <color indexed="81"/>
            <rFont val="Tahoma"/>
            <family val="2"/>
          </rPr>
          <t xml:space="preserve">
Se entregó a Rubi el dinero , pago en efectivo</t>
        </r>
      </text>
    </comment>
    <comment ref="P434" authorId="0" shapeId="0" xr:uid="{15C22E18-47C8-4160-AEA6-74F83D64F33D}">
      <text>
        <r>
          <rPr>
            <b/>
            <sz val="9"/>
            <color indexed="81"/>
            <rFont val="Tahoma"/>
            <family val="2"/>
          </rPr>
          <t>MC:</t>
        </r>
        <r>
          <rPr>
            <sz val="9"/>
            <color indexed="81"/>
            <rFont val="Tahoma"/>
            <family val="2"/>
          </rPr>
          <t xml:space="preserve">
Vivero Cocos</t>
        </r>
      </text>
    </comment>
    <comment ref="P439" authorId="0" shapeId="0" xr:uid="{CA8929EC-C6B8-44A5-9DC4-1F82159E483C}">
      <text>
        <r>
          <rPr>
            <b/>
            <sz val="9"/>
            <color indexed="81"/>
            <rFont val="Tahoma"/>
            <family val="2"/>
          </rPr>
          <t>MC:</t>
        </r>
        <r>
          <rPr>
            <sz val="9"/>
            <color indexed="81"/>
            <rFont val="Tahoma"/>
            <family val="2"/>
          </rPr>
          <t xml:space="preserve">
10,000 L Z-A Caminero
300 L Vivero Cocos</t>
        </r>
      </text>
    </comment>
    <comment ref="P442" authorId="0" shapeId="0" xr:uid="{2BB52A3E-D625-46D0-90D8-FCA1079C3ECA}">
      <text>
        <r>
          <rPr>
            <b/>
            <sz val="9"/>
            <color indexed="81"/>
            <rFont val="Tahoma"/>
            <family val="2"/>
          </rPr>
          <t>MC:</t>
        </r>
        <r>
          <rPr>
            <sz val="9"/>
            <color indexed="81"/>
            <rFont val="Tahoma"/>
            <family val="2"/>
          </rPr>
          <t xml:space="preserve">
Parotas</t>
        </r>
      </text>
    </comment>
    <comment ref="P443" authorId="0" shapeId="0" xr:uid="{F1002406-E4D7-4122-B995-BBC454F5E921}">
      <text>
        <r>
          <rPr>
            <b/>
            <sz val="9"/>
            <color indexed="81"/>
            <rFont val="Tahoma"/>
            <family val="2"/>
          </rPr>
          <t>MC:</t>
        </r>
        <r>
          <rPr>
            <sz val="9"/>
            <color indexed="81"/>
            <rFont val="Tahoma"/>
            <family val="2"/>
          </rPr>
          <t xml:space="preserve">
Se entregó miel a la señora Carmen en su casa, esta miel no se cobra</t>
        </r>
      </text>
    </comment>
    <comment ref="P448" authorId="0" shapeId="0" xr:uid="{AB8F583E-3B58-42F5-A94B-8FB4F71A7708}">
      <text>
        <r>
          <rPr>
            <b/>
            <sz val="9"/>
            <color indexed="81"/>
            <rFont val="Tahoma"/>
            <family val="2"/>
          </rPr>
          <t>MC:</t>
        </r>
        <r>
          <rPr>
            <sz val="9"/>
            <color indexed="81"/>
            <rFont val="Tahoma"/>
            <family val="2"/>
          </rPr>
          <t xml:space="preserve">
Vivero
Verano 2 Persa
Vivero</t>
        </r>
      </text>
    </comment>
    <comment ref="H449" authorId="0" shapeId="0" xr:uid="{AE2A64D9-5BEE-469A-8ED8-F3986498D8A9}">
      <text>
        <r>
          <rPr>
            <b/>
            <sz val="9"/>
            <color indexed="81"/>
            <rFont val="Tahoma"/>
            <family val="2"/>
          </rPr>
          <t>MC:</t>
        </r>
        <r>
          <rPr>
            <sz val="9"/>
            <color indexed="81"/>
            <rFont val="Tahoma"/>
            <family val="2"/>
          </rPr>
          <t xml:space="preserve">
Casa del Patron</t>
        </r>
      </text>
    </comment>
    <comment ref="P452" authorId="0" shapeId="0" xr:uid="{5E75B599-D89C-4895-9052-8827D3F37846}">
      <text>
        <r>
          <rPr>
            <b/>
            <sz val="9"/>
            <color indexed="81"/>
            <rFont val="Tahoma"/>
            <family val="2"/>
          </rPr>
          <t>MC:</t>
        </r>
        <r>
          <rPr>
            <sz val="9"/>
            <color indexed="81"/>
            <rFont val="Tahoma"/>
            <family val="2"/>
          </rPr>
          <t xml:space="preserve">
Parotas
Parotas</t>
        </r>
      </text>
    </comment>
    <comment ref="P454" authorId="0" shapeId="0" xr:uid="{982FEAE8-D3D6-40A4-9D4D-FCAFF02C8767}">
      <text>
        <r>
          <rPr>
            <b/>
            <sz val="9"/>
            <color indexed="81"/>
            <rFont val="Tahoma"/>
            <family val="2"/>
          </rPr>
          <t>MC:</t>
        </r>
        <r>
          <rPr>
            <sz val="9"/>
            <color indexed="81"/>
            <rFont val="Tahoma"/>
            <family val="2"/>
          </rPr>
          <t xml:space="preserve">
tepames 2 persas 400
Jarocho Mx 300
Verano 2 Persa 300</t>
        </r>
      </text>
    </comment>
    <comment ref="N460" authorId="3" shapeId="0" xr:uid="{669B01C7-0F46-4CF8-AEBC-36280CE60ECE}">
      <text>
        <r>
          <rPr>
            <b/>
            <sz val="9"/>
            <color indexed="81"/>
            <rFont val="Tahoma"/>
            <family val="2"/>
          </rPr>
          <t>Marae:</t>
        </r>
        <r>
          <rPr>
            <sz val="9"/>
            <color indexed="81"/>
            <rFont val="Tahoma"/>
            <family val="2"/>
          </rPr>
          <t xml:space="preserve">
no se han vendido</t>
        </r>
      </text>
    </comment>
    <comment ref="N464" authorId="3" shapeId="0" xr:uid="{F0F7AC96-4E37-4304-92F3-F4480377B491}">
      <text>
        <r>
          <rPr>
            <b/>
            <sz val="9"/>
            <color indexed="81"/>
            <rFont val="Tahoma"/>
            <family val="2"/>
          </rPr>
          <t>Marae:</t>
        </r>
        <r>
          <rPr>
            <sz val="9"/>
            <color indexed="81"/>
            <rFont val="Tahoma"/>
            <family val="2"/>
          </rPr>
          <t xml:space="preserve">
no se han vendido</t>
        </r>
      </text>
    </comment>
    <comment ref="P464" authorId="0" shapeId="0" xr:uid="{93C9A9EE-AA7A-4B3A-9901-99A2579F10AF}">
      <text>
        <r>
          <rPr>
            <b/>
            <sz val="9"/>
            <color indexed="81"/>
            <rFont val="Tahoma"/>
            <family val="2"/>
          </rPr>
          <t>MC:</t>
        </r>
        <r>
          <rPr>
            <sz val="9"/>
            <color indexed="81"/>
            <rFont val="Tahoma"/>
            <family val="2"/>
          </rPr>
          <t xml:space="preserve">
22 LSe entregó a recepción con paloma en Sicar
30 Se entregó en citrojugo, a Jorge de compras</t>
        </r>
      </text>
    </comment>
    <comment ref="P469" authorId="0" shapeId="0" xr:uid="{2BC71170-8135-45B8-84F6-E3292CEC85B4}">
      <text>
        <r>
          <rPr>
            <b/>
            <sz val="9"/>
            <color indexed="81"/>
            <rFont val="Tahoma"/>
            <family val="2"/>
          </rPr>
          <t>MC:</t>
        </r>
        <r>
          <rPr>
            <sz val="9"/>
            <color indexed="81"/>
            <rFont val="Tahoma"/>
            <family val="2"/>
          </rPr>
          <t xml:space="preserve">
tepames 2 persas 400
Jarocho Mx 300
Verano 2 Persa 300</t>
        </r>
      </text>
    </comment>
    <comment ref="P472" authorId="0" shapeId="0" xr:uid="{EF5DB789-F948-4BDD-844F-F1FBD065DD7E}">
      <text>
        <r>
          <rPr>
            <b/>
            <sz val="9"/>
            <color indexed="81"/>
            <rFont val="Tahoma"/>
            <family val="2"/>
          </rPr>
          <t>MC:</t>
        </r>
        <r>
          <rPr>
            <sz val="9"/>
            <color indexed="81"/>
            <rFont val="Tahoma"/>
            <family val="2"/>
          </rPr>
          <t xml:space="preserve">
20 L Sicar
30 L Citrojugo</t>
        </r>
      </text>
    </comment>
    <comment ref="P473" authorId="0" shapeId="0" xr:uid="{65703C7C-5076-43FE-B841-19A7937FD52A}">
      <text>
        <r>
          <rPr>
            <b/>
            <sz val="9"/>
            <color indexed="81"/>
            <rFont val="Tahoma"/>
            <family val="2"/>
          </rPr>
          <t>MC:</t>
        </r>
        <r>
          <rPr>
            <sz val="9"/>
            <color indexed="81"/>
            <rFont val="Tahoma"/>
            <family val="2"/>
          </rPr>
          <t xml:space="preserve">
De los 35 L
30 de 1 L
5 de 1/2L</t>
        </r>
      </text>
    </comment>
    <comment ref="P474" authorId="0" shapeId="0" xr:uid="{85AE0A41-7CBF-4665-A03D-255E10BB2BB0}">
      <text>
        <r>
          <rPr>
            <b/>
            <sz val="9"/>
            <color indexed="81"/>
            <rFont val="Tahoma"/>
            <family val="2"/>
          </rPr>
          <t>MC:</t>
        </r>
        <r>
          <rPr>
            <sz val="9"/>
            <color indexed="81"/>
            <rFont val="Tahoma"/>
            <family val="2"/>
          </rPr>
          <t xml:space="preserve">
Santa Amalia
Juan Pedro
San Pedro 1
San Pedro 2</t>
        </r>
      </text>
    </comment>
    <comment ref="P476" authorId="0" shapeId="0" xr:uid="{2F931269-3EDB-47FE-8398-B5EC2F8FCF5C}">
      <text>
        <r>
          <rPr>
            <b/>
            <sz val="9"/>
            <color indexed="81"/>
            <rFont val="Tahoma"/>
            <family val="2"/>
          </rPr>
          <t>MC:</t>
        </r>
        <r>
          <rPr>
            <sz val="9"/>
            <color indexed="81"/>
            <rFont val="Tahoma"/>
            <family val="2"/>
          </rPr>
          <t xml:space="preserve">
100 L Karina, SICAR VENTAS
14.5 L Karina, SICAR VENTAS
5 L Tere Pedraza VENTAS
60 L Karina SICAR VENTAS</t>
        </r>
      </text>
    </comment>
    <comment ref="P482" authorId="0" shapeId="0" xr:uid="{10EAAC63-943F-44AC-8017-221AF26009F1}">
      <text>
        <r>
          <rPr>
            <b/>
            <sz val="9"/>
            <color indexed="81"/>
            <rFont val="Tahoma"/>
            <family val="2"/>
          </rPr>
          <t>MC:</t>
        </r>
        <r>
          <rPr>
            <sz val="9"/>
            <color indexed="81"/>
            <rFont val="Tahoma"/>
            <family val="2"/>
          </rPr>
          <t xml:space="preserve">
Parotas</t>
        </r>
      </text>
    </comment>
    <comment ref="P485" authorId="0" shapeId="0" xr:uid="{A45F89AD-F7A6-49DA-B8D7-348544C3385F}">
      <text>
        <r>
          <rPr>
            <b/>
            <sz val="9"/>
            <color indexed="81"/>
            <rFont val="Tahoma"/>
            <family val="2"/>
          </rPr>
          <t>MC:</t>
        </r>
        <r>
          <rPr>
            <sz val="9"/>
            <color indexed="81"/>
            <rFont val="Tahoma"/>
            <family val="2"/>
          </rPr>
          <t xml:space="preserve">
Tepames/alberto Santchez
Guadalupana 2/Jorge Sanchez
San Pedro 2/Noe Rosales
San Pedro 3/Noe Rosales</t>
        </r>
      </text>
    </comment>
    <comment ref="P486" authorId="0" shapeId="0" xr:uid="{CFB7C7B5-39E6-4289-8813-15DE472D3E63}">
      <text>
        <r>
          <rPr>
            <b/>
            <sz val="9"/>
            <color indexed="81"/>
            <rFont val="Tahoma"/>
            <family val="2"/>
          </rPr>
          <t xml:space="preserve">MC:
</t>
        </r>
        <r>
          <rPr>
            <sz val="9"/>
            <color indexed="81"/>
            <rFont val="Tahoma"/>
            <family val="2"/>
          </rPr>
          <t xml:space="preserve">
1 L cortesia Lab Crisopas</t>
        </r>
      </text>
    </comment>
    <comment ref="P487" authorId="0" shapeId="0" xr:uid="{B05D44B3-0DFC-49F8-86FD-38CCDEABC9CE}">
      <text>
        <r>
          <rPr>
            <b/>
            <sz val="9"/>
            <color indexed="81"/>
            <rFont val="Tahoma"/>
            <family val="2"/>
          </rPr>
          <t>MC:</t>
        </r>
        <r>
          <rPr>
            <sz val="9"/>
            <color indexed="81"/>
            <rFont val="Tahoma"/>
            <family val="2"/>
          </rPr>
          <t xml:space="preserve">
Entrega a Karina para posterior distribucion a Ventas Sicar</t>
        </r>
      </text>
    </comment>
    <comment ref="P488" authorId="0" shapeId="0" xr:uid="{9AF25B10-9EA7-40A8-B137-63E0D73DD907}">
      <text>
        <r>
          <rPr>
            <b/>
            <sz val="9"/>
            <color indexed="81"/>
            <rFont val="Tahoma"/>
            <family val="2"/>
          </rPr>
          <t>MC:</t>
        </r>
        <r>
          <rPr>
            <sz val="9"/>
            <color indexed="81"/>
            <rFont val="Tahoma"/>
            <family val="2"/>
          </rPr>
          <t xml:space="preserve">
San Francisco Persa</t>
        </r>
      </text>
    </comment>
    <comment ref="P489" authorId="0" shapeId="0" xr:uid="{9FB21518-B3FB-402E-9C0C-A52DA99D1172}">
      <text>
        <r>
          <rPr>
            <b/>
            <sz val="9"/>
            <color indexed="81"/>
            <rFont val="Tahoma"/>
            <family val="2"/>
          </rPr>
          <t>MC:</t>
        </r>
        <r>
          <rPr>
            <sz val="9"/>
            <color indexed="81"/>
            <rFont val="Tahoma"/>
            <family val="2"/>
          </rPr>
          <t xml:space="preserve">
Entrega a Teresa Pedraza Ventas Sicar</t>
        </r>
      </text>
    </comment>
    <comment ref="P493" authorId="0" shapeId="0" xr:uid="{FE347F16-286E-4666-904A-70E077BFD993}">
      <text>
        <r>
          <rPr>
            <b/>
            <sz val="9"/>
            <color indexed="81"/>
            <rFont val="Tahoma"/>
            <family val="2"/>
          </rPr>
          <t>MC:</t>
        </r>
        <r>
          <rPr>
            <sz val="9"/>
            <color indexed="81"/>
            <rFont val="Tahoma"/>
            <family val="2"/>
          </rPr>
          <t xml:space="preserve">
Sicar Ventas</t>
        </r>
      </text>
    </comment>
    <comment ref="N494" authorId="3" shapeId="0" xr:uid="{B1CE88AE-E946-44B1-8A27-347A751393EC}">
      <text>
        <r>
          <rPr>
            <b/>
            <sz val="9"/>
            <color indexed="81"/>
            <rFont val="Tahoma"/>
            <family val="2"/>
          </rPr>
          <t>Marae:</t>
        </r>
        <r>
          <rPr>
            <sz val="9"/>
            <color indexed="81"/>
            <rFont val="Tahoma"/>
            <family val="2"/>
          </rPr>
          <t xml:space="preserve">
no se han vendido</t>
        </r>
      </text>
    </comment>
    <comment ref="P495" authorId="0" shapeId="0" xr:uid="{F27D94F5-FE6B-4DC5-BC9B-901482C089A9}">
      <text>
        <r>
          <rPr>
            <b/>
            <sz val="9"/>
            <color indexed="81"/>
            <rFont val="Tahoma"/>
            <family val="2"/>
          </rPr>
          <t>MC:</t>
        </r>
        <r>
          <rPr>
            <sz val="9"/>
            <color indexed="81"/>
            <rFont val="Tahoma"/>
            <family val="2"/>
          </rPr>
          <t xml:space="preserve">
Parotas
Parotas
Vivero Cocos</t>
        </r>
      </text>
    </comment>
    <comment ref="P497" authorId="3" shapeId="0" xr:uid="{18DBACA9-89AA-4246-991E-B31546F00EBB}">
      <text>
        <r>
          <rPr>
            <b/>
            <sz val="9"/>
            <color indexed="81"/>
            <rFont val="Tahoma"/>
            <family val="2"/>
          </rPr>
          <t>Marae:</t>
        </r>
        <r>
          <rPr>
            <sz val="9"/>
            <color indexed="81"/>
            <rFont val="Tahoma"/>
            <family val="2"/>
          </rPr>
          <t xml:space="preserve">
Sn Pedro 1 Mx</t>
        </r>
      </text>
    </comment>
    <comment ref="P501" authorId="0" shapeId="0" xr:uid="{9A764469-8B9E-45DF-9205-7B644256C776}">
      <text>
        <r>
          <rPr>
            <b/>
            <sz val="9"/>
            <color indexed="81"/>
            <rFont val="Tahoma"/>
            <family val="2"/>
          </rPr>
          <t>MC:</t>
        </r>
        <r>
          <rPr>
            <sz val="9"/>
            <color indexed="81"/>
            <rFont val="Tahoma"/>
            <family val="2"/>
          </rPr>
          <t xml:space="preserve">
200 ml Tepames 2 persa
100 ml Kairo (mx)
300 ml Pandelo (mx)</t>
        </r>
      </text>
    </comment>
    <comment ref="O502" authorId="0" shapeId="0" xr:uid="{10F681DE-2C75-456B-B3CB-3330CA7C983E}">
      <text>
        <r>
          <rPr>
            <b/>
            <sz val="9"/>
            <color indexed="81"/>
            <rFont val="Tahoma"/>
            <family val="2"/>
          </rPr>
          <t>MC:</t>
        </r>
        <r>
          <rPr>
            <sz val="9"/>
            <color indexed="81"/>
            <rFont val="Tahoma"/>
            <family val="2"/>
          </rPr>
          <t xml:space="preserve">
51.82 L apiario San Miguel
102.82 apiario Las Piedras</t>
        </r>
      </text>
    </comment>
    <comment ref="P507" authorId="0" shapeId="0" xr:uid="{2695F142-7589-41B9-86E9-A003598DB636}">
      <text>
        <r>
          <rPr>
            <b/>
            <sz val="9"/>
            <color indexed="81"/>
            <rFont val="Tahoma"/>
            <family val="2"/>
          </rPr>
          <t>MC:</t>
        </r>
        <r>
          <rPr>
            <sz val="9"/>
            <color indexed="81"/>
            <rFont val="Tahoma"/>
            <family val="2"/>
          </rPr>
          <t xml:space="preserve">
20 L Para los chiles
20 L para los clones</t>
        </r>
      </text>
    </comment>
    <comment ref="P508" authorId="0" shapeId="0" xr:uid="{3437AB5E-C20E-4192-A12F-73908D50FE04}">
      <text>
        <r>
          <rPr>
            <b/>
            <sz val="9"/>
            <color indexed="81"/>
            <rFont val="Tahoma"/>
            <family val="2"/>
          </rPr>
          <t>MC:</t>
        </r>
        <r>
          <rPr>
            <sz val="9"/>
            <color indexed="81"/>
            <rFont val="Tahoma"/>
            <family val="2"/>
          </rPr>
          <t xml:space="preserve">
Casa ing Daniel Gudiño</t>
        </r>
      </text>
    </comment>
    <comment ref="P509" authorId="0" shapeId="0" xr:uid="{6581215E-3F6F-4428-B35D-D8D968E2B013}">
      <text>
        <r>
          <rPr>
            <b/>
            <sz val="9"/>
            <color indexed="81"/>
            <rFont val="Tahoma"/>
            <family val="2"/>
          </rPr>
          <t>MC:</t>
        </r>
        <r>
          <rPr>
            <sz val="9"/>
            <color indexed="81"/>
            <rFont val="Tahoma"/>
            <family val="2"/>
          </rPr>
          <t xml:space="preserve">
Casa Ing Daniel Gudiño</t>
        </r>
      </text>
    </comment>
    <comment ref="P513" authorId="0" shapeId="0" xr:uid="{8AC0ABC7-4DDF-4F0B-98C0-AD5072874F2C}">
      <text>
        <r>
          <rPr>
            <b/>
            <sz val="9"/>
            <color indexed="81"/>
            <rFont val="Tahoma"/>
            <family val="2"/>
          </rPr>
          <t>MC:</t>
        </r>
        <r>
          <rPr>
            <sz val="9"/>
            <color indexed="81"/>
            <rFont val="Tahoma"/>
            <family val="2"/>
          </rPr>
          <t xml:space="preserve">
4,000 L para Yucatan</t>
        </r>
      </text>
    </comment>
    <comment ref="P516" authorId="0" shapeId="0" xr:uid="{58216F5B-303C-4A8A-AD0A-6765C2599BA9}">
      <text>
        <r>
          <rPr>
            <b/>
            <sz val="9"/>
            <color indexed="81"/>
            <rFont val="Tahoma"/>
            <family val="2"/>
          </rPr>
          <t>MC:</t>
        </r>
        <r>
          <rPr>
            <sz val="9"/>
            <color indexed="81"/>
            <rFont val="Tahoma"/>
            <family val="2"/>
          </rPr>
          <t xml:space="preserve">
1 L para Yucatan</t>
        </r>
      </text>
    </comment>
    <comment ref="O517" authorId="0" shapeId="0" xr:uid="{9E4316F7-B5F1-45AA-BD3C-6C3A0BFD76FF}">
      <text>
        <r>
          <rPr>
            <b/>
            <sz val="9"/>
            <color indexed="81"/>
            <rFont val="Tahoma"/>
            <family val="2"/>
          </rPr>
          <t>MC:</t>
        </r>
        <r>
          <rPr>
            <sz val="9"/>
            <color indexed="81"/>
            <rFont val="Tahoma"/>
            <family val="2"/>
          </rPr>
          <t xml:space="preserve">
68.87 Jarocho
34.34 Sn Pedro 2
15.19 Pandelo 
97.47 Leo 2
36.44 Operculos
17.29 San Judas
11.7 Polvorin 2</t>
        </r>
      </text>
    </comment>
    <comment ref="P519" authorId="0" shapeId="0" xr:uid="{39AC1C26-B9B9-422B-82F2-CB4D03D16AFA}">
      <text>
        <r>
          <rPr>
            <b/>
            <sz val="9"/>
            <color indexed="81"/>
            <rFont val="Tahoma"/>
            <family val="2"/>
          </rPr>
          <t>MC:</t>
        </r>
        <r>
          <rPr>
            <sz val="9"/>
            <color indexed="81"/>
            <rFont val="Tahoma"/>
            <family val="2"/>
          </rPr>
          <t xml:space="preserve">
200 Tepames 2 (Persa)
150 Juan Pedro (Mx)
300 Pampas 1 (Mx)</t>
        </r>
      </text>
    </comment>
    <comment ref="P520" authorId="0" shapeId="0" xr:uid="{21433F61-957E-488A-BE24-DF8DA46EB765}">
      <text>
        <r>
          <rPr>
            <b/>
            <sz val="9"/>
            <color indexed="81"/>
            <rFont val="Tahoma"/>
            <family val="2"/>
          </rPr>
          <t>MC:</t>
        </r>
        <r>
          <rPr>
            <sz val="9"/>
            <color indexed="81"/>
            <rFont val="Tahoma"/>
            <family val="2"/>
          </rPr>
          <t xml:space="preserve">
21 L efectivo a Kari
19 L por transferencia </t>
        </r>
      </text>
    </comment>
    <comment ref="E526" authorId="2" shapeId="0" xr:uid="{28277B4B-ABF7-4037-88C9-02D9EBF3A83C}">
      <text>
        <r>
          <rPr>
            <b/>
            <sz val="9"/>
            <color indexed="81"/>
            <rFont val="Tahoma"/>
            <family val="2"/>
          </rPr>
          <t>AGROECOLOGIA:</t>
        </r>
        <r>
          <rPr>
            <sz val="9"/>
            <color indexed="81"/>
            <rFont val="Tahoma"/>
            <family val="2"/>
          </rPr>
          <t xml:space="preserve">
se cosecho el sab 25nov</t>
        </r>
      </text>
    </comment>
    <comment ref="O526" authorId="2" shapeId="0" xr:uid="{18C6E442-2985-4ED2-8039-40519D57E723}">
      <text>
        <r>
          <rPr>
            <b/>
            <sz val="9"/>
            <color indexed="81"/>
            <rFont val="Tahoma"/>
            <family val="2"/>
          </rPr>
          <t>AGROECOLOGIA:</t>
        </r>
        <r>
          <rPr>
            <sz val="9"/>
            <color indexed="81"/>
            <rFont val="Tahoma"/>
            <family val="2"/>
          </rPr>
          <t xml:space="preserve">
28.43 Caminero
7.79 Coquimatlan 
65.07 Santa Amalia</t>
        </r>
      </text>
    </comment>
    <comment ref="P528" authorId="2" shapeId="0" xr:uid="{BDC3AE3B-453B-4E1A-B9FE-01C3B4599ECC}">
      <text>
        <r>
          <rPr>
            <b/>
            <sz val="9"/>
            <color indexed="81"/>
            <rFont val="Tahoma"/>
            <family val="2"/>
          </rPr>
          <t>AGROECOLOGIA:</t>
        </r>
        <r>
          <rPr>
            <sz val="9"/>
            <color indexed="81"/>
            <rFont val="Tahoma"/>
            <family val="2"/>
          </rPr>
          <t xml:space="preserve">
Vivero Cocos</t>
        </r>
      </text>
    </comment>
    <comment ref="P530" authorId="2" shapeId="0" xr:uid="{FA85032C-1789-40C5-82DE-07D983840992}">
      <text>
        <r>
          <rPr>
            <b/>
            <sz val="9"/>
            <color indexed="81"/>
            <rFont val="Tahoma"/>
            <family val="2"/>
          </rPr>
          <t>AGROECOLOGIA:</t>
        </r>
        <r>
          <rPr>
            <sz val="9"/>
            <color indexed="81"/>
            <rFont val="Tahoma"/>
            <family val="2"/>
          </rPr>
          <t xml:space="preserve">
300 ML San Fco Persa Noe
250 ml Prodigio Mx Enrique</t>
        </r>
      </text>
    </comment>
    <comment ref="P535" authorId="0" shapeId="0" xr:uid="{2CE686E9-1EE6-459C-8017-C1E9F454D8DD}">
      <text>
        <r>
          <rPr>
            <b/>
            <sz val="9"/>
            <color indexed="81"/>
            <rFont val="Tahoma"/>
            <family val="2"/>
          </rPr>
          <t>MC:</t>
        </r>
        <r>
          <rPr>
            <sz val="9"/>
            <color indexed="81"/>
            <rFont val="Tahoma"/>
            <family val="2"/>
          </rPr>
          <t xml:space="preserve">
Vwnta Externa
19 L efectivo a Kari (V-80)
5 L efectivo a Kari (V-81)</t>
        </r>
      </text>
    </comment>
    <comment ref="P536" authorId="2" shapeId="0" xr:uid="{8226BCF2-D4FA-4A59-A6B4-AB0ECF32E0C3}">
      <text>
        <r>
          <rPr>
            <b/>
            <sz val="9"/>
            <color indexed="81"/>
            <rFont val="Tahoma"/>
            <family val="2"/>
          </rPr>
          <t>AGROECOLOGIA:</t>
        </r>
        <r>
          <rPr>
            <sz val="9"/>
            <color indexed="81"/>
            <rFont val="Tahoma"/>
            <family val="2"/>
          </rPr>
          <t xml:space="preserve">
Vivero </t>
        </r>
      </text>
    </comment>
    <comment ref="P538" authorId="2" shapeId="0" xr:uid="{9D0E3462-92AD-4562-99D0-04B8D0AF3A14}">
      <text>
        <r>
          <rPr>
            <b/>
            <sz val="9"/>
            <color indexed="81"/>
            <rFont val="Tahoma"/>
            <family val="2"/>
          </rPr>
          <t>AGROECOLOGIA:</t>
        </r>
        <r>
          <rPr>
            <sz val="9"/>
            <color indexed="81"/>
            <rFont val="Tahoma"/>
            <family val="2"/>
          </rPr>
          <t xml:space="preserve">
2,500 Vivero Cocos
13,770 Parotas 
12,950 Parotas 
14,150 Parotas</t>
        </r>
      </text>
    </comment>
    <comment ref="P539" authorId="2" shapeId="0" xr:uid="{8D23F784-87AA-4794-903B-D4DADDD589F5}">
      <text>
        <r>
          <rPr>
            <b/>
            <sz val="9"/>
            <color indexed="81"/>
            <rFont val="Tahoma"/>
            <family val="2"/>
          </rPr>
          <t>AGROECOLOGIA:</t>
        </r>
        <r>
          <rPr>
            <sz val="9"/>
            <color indexed="81"/>
            <rFont val="Tahoma"/>
            <family val="2"/>
          </rPr>
          <t xml:space="preserve">
200 ml Guadalupana Mx
300 ml San Francisco Persa
200 ml San Jorge Persa</t>
        </r>
      </text>
    </comment>
    <comment ref="P540" authorId="2" shapeId="0" xr:uid="{C4B80B05-144F-4222-BA28-040B4FFFBE47}">
      <text>
        <r>
          <rPr>
            <b/>
            <sz val="9"/>
            <color indexed="81"/>
            <rFont val="Tahoma"/>
            <family val="2"/>
          </rPr>
          <t>AGROECOLOGIA:</t>
        </r>
        <r>
          <rPr>
            <sz val="9"/>
            <color indexed="81"/>
            <rFont val="Tahoma"/>
            <family val="2"/>
          </rPr>
          <t xml:space="preserve">
Casa Sigifredo Jr</t>
        </r>
      </text>
    </comment>
    <comment ref="P542" authorId="2" shapeId="0" xr:uid="{8C022724-FD9E-40C1-A4CE-21664A698093}">
      <text>
        <r>
          <rPr>
            <b/>
            <sz val="9"/>
            <color indexed="81"/>
            <rFont val="Tahoma"/>
            <family val="2"/>
          </rPr>
          <t>AGROECOLOGIA:</t>
        </r>
        <r>
          <rPr>
            <sz val="9"/>
            <color indexed="81"/>
            <rFont val="Tahoma"/>
            <family val="2"/>
          </rPr>
          <t xml:space="preserve">
Almacen</t>
        </r>
      </text>
    </comment>
    <comment ref="P543" authorId="2" shapeId="0" xr:uid="{2931187C-3208-4E5E-89E5-AA5CD350495B}">
      <text>
        <r>
          <rPr>
            <b/>
            <sz val="9"/>
            <color indexed="81"/>
            <rFont val="Tahoma"/>
            <family val="2"/>
          </rPr>
          <t>AGROECOLOGIA:</t>
        </r>
        <r>
          <rPr>
            <sz val="9"/>
            <color indexed="81"/>
            <rFont val="Tahoma"/>
            <family val="2"/>
          </rPr>
          <t xml:space="preserve">
Venta Externa</t>
        </r>
      </text>
    </comment>
    <comment ref="P548" authorId="2" shapeId="0" xr:uid="{304E1D01-CE22-4897-842C-17A68B0F73A9}">
      <text>
        <r>
          <rPr>
            <b/>
            <sz val="9"/>
            <color indexed="81"/>
            <rFont val="Tahoma"/>
            <family val="2"/>
          </rPr>
          <t>AGROECOLOGIA:</t>
        </r>
        <r>
          <rPr>
            <sz val="9"/>
            <color indexed="81"/>
            <rFont val="Tahoma"/>
            <family val="2"/>
          </rPr>
          <t xml:space="preserve">
250 Sta Amalia Persa 
150 Las Piedras 2 mx 
250 Prodigio Mx
300 Leo 1 Mx
300 Leo 2 x</t>
        </r>
      </text>
    </comment>
    <comment ref="P549" authorId="2" shapeId="0" xr:uid="{2223A207-0116-48F9-836B-3243E6A1C515}">
      <text>
        <r>
          <rPr>
            <b/>
            <sz val="9"/>
            <color indexed="81"/>
            <rFont val="Tahoma"/>
            <family val="2"/>
          </rPr>
          <t>AGROECOLOGIA:</t>
        </r>
        <r>
          <rPr>
            <sz val="9"/>
            <color indexed="81"/>
            <rFont val="Tahoma"/>
            <family val="2"/>
          </rPr>
          <t xml:space="preserve">
Vivero Clon</t>
        </r>
      </text>
    </comment>
    <comment ref="P551" authorId="2" shapeId="0" xr:uid="{818CC0BB-A7EC-4EFB-89F2-5500313CDBD7}">
      <text>
        <r>
          <rPr>
            <b/>
            <sz val="9"/>
            <color indexed="81"/>
            <rFont val="Tahoma"/>
            <family val="2"/>
          </rPr>
          <t>AGROECOLOGIA:</t>
        </r>
        <r>
          <rPr>
            <sz val="9"/>
            <color indexed="81"/>
            <rFont val="Tahoma"/>
            <family val="2"/>
          </rPr>
          <t xml:space="preserve">
Prueba en vivero</t>
        </r>
      </text>
    </comment>
    <comment ref="P554" authorId="2" shapeId="0" xr:uid="{663675B1-89BC-4368-B13E-FACFAAD1CD9E}">
      <text>
        <r>
          <rPr>
            <b/>
            <sz val="9"/>
            <color indexed="81"/>
            <rFont val="Tahoma"/>
            <family val="2"/>
          </rPr>
          <t>AGROECOLOGIA:</t>
        </r>
        <r>
          <rPr>
            <sz val="9"/>
            <color indexed="81"/>
            <rFont val="Tahoma"/>
            <family val="2"/>
          </rPr>
          <t xml:space="preserve">
Vivero</t>
        </r>
      </text>
    </comment>
    <comment ref="P555" authorId="2" shapeId="0" xr:uid="{60979479-D97B-4229-B2F9-BFCB9C006AEE}">
      <text>
        <r>
          <rPr>
            <b/>
            <sz val="9"/>
            <color indexed="81"/>
            <rFont val="Tahoma"/>
            <family val="2"/>
          </rPr>
          <t>AGROECOLOGIA:</t>
        </r>
        <r>
          <rPr>
            <sz val="9"/>
            <color indexed="81"/>
            <rFont val="Tahoma"/>
            <family val="2"/>
          </rPr>
          <t xml:space="preserve">
Yucatan
</t>
        </r>
      </text>
    </comment>
    <comment ref="P557" authorId="2" shapeId="0" xr:uid="{7E5D58AF-C7A6-40C7-8CE0-C674CA70A60E}">
      <text>
        <r>
          <rPr>
            <b/>
            <sz val="9"/>
            <color indexed="81"/>
            <rFont val="Tahoma"/>
            <family val="2"/>
          </rPr>
          <t>AGROECOLOGIA:</t>
        </r>
        <r>
          <rPr>
            <sz val="9"/>
            <color indexed="81"/>
            <rFont val="Tahoma"/>
            <family val="2"/>
          </rPr>
          <t xml:space="preserve">
Casa de Sigi JR</t>
        </r>
      </text>
    </comment>
    <comment ref="P558" authorId="2" shapeId="0" xr:uid="{9B8D8EF6-DBC5-4DA9-B1D6-C2ADF57A058E}">
      <text>
        <r>
          <rPr>
            <b/>
            <sz val="9"/>
            <color indexed="81"/>
            <rFont val="Tahoma"/>
            <family val="2"/>
          </rPr>
          <t>AGROECOLOGIA:</t>
        </r>
        <r>
          <rPr>
            <sz val="9"/>
            <color indexed="81"/>
            <rFont val="Tahoma"/>
            <family val="2"/>
          </rPr>
          <t xml:space="preserve">
Se entregó miel al señor Sigifredo Gudiño toscano en su domicilio, esta miel no se cobra</t>
        </r>
      </text>
    </comment>
    <comment ref="P559" authorId="2" shapeId="0" xr:uid="{3BB39E1D-649E-446D-8A2C-32E0E3F78EE1}">
      <text>
        <r>
          <rPr>
            <b/>
            <sz val="9"/>
            <color indexed="81"/>
            <rFont val="Tahoma"/>
            <family val="2"/>
          </rPr>
          <t>AGROECOLOGIA:</t>
        </r>
        <r>
          <rPr>
            <sz val="9"/>
            <color indexed="81"/>
            <rFont val="Tahoma"/>
            <family val="2"/>
          </rPr>
          <t xml:space="preserve">
150 Guadalupana mx
500 Tepames Persa
250 Prodigio Mx</t>
        </r>
      </text>
    </comment>
    <comment ref="P560" authorId="2" shapeId="0" xr:uid="{9F388C64-9592-44EE-AF96-4F598F0F7BB5}">
      <text>
        <r>
          <rPr>
            <b/>
            <sz val="9"/>
            <color indexed="81"/>
            <rFont val="Tahoma"/>
            <family val="2"/>
          </rPr>
          <t>AGROECOLOGIA:</t>
        </r>
        <r>
          <rPr>
            <sz val="9"/>
            <color indexed="81"/>
            <rFont val="Tahoma"/>
            <family val="2"/>
          </rPr>
          <t xml:space="preserve">
Vivero Cocos</t>
        </r>
      </text>
    </comment>
    <comment ref="P561" authorId="2" shapeId="0" xr:uid="{A9800C4F-6D96-4E46-B03B-3EF9AE2E8368}">
      <text>
        <r>
          <rPr>
            <b/>
            <sz val="9"/>
            <color indexed="81"/>
            <rFont val="Tahoma"/>
            <family val="2"/>
          </rPr>
          <t>AGROECOLOGIA:</t>
        </r>
        <r>
          <rPr>
            <sz val="9"/>
            <color indexed="81"/>
            <rFont val="Tahoma"/>
            <family val="2"/>
          </rPr>
          <t xml:space="preserve">
60 venta Externa pago efc Karina
57 venta Ext. Pago efect Karina</t>
        </r>
      </text>
    </comment>
    <comment ref="P563" authorId="2" shapeId="0" xr:uid="{CF208748-5275-407F-907F-D6C8E9A9D038}">
      <text>
        <r>
          <rPr>
            <b/>
            <sz val="9"/>
            <color indexed="81"/>
            <rFont val="Tahoma"/>
            <family val="2"/>
          </rPr>
          <t>AGROECOLOGIA:</t>
        </r>
        <r>
          <rPr>
            <sz val="9"/>
            <color indexed="81"/>
            <rFont val="Tahoma"/>
            <family val="2"/>
          </rPr>
          <t xml:space="preserve">
Zona a Parotas Roberto Padilla 3,500 kg</t>
        </r>
      </text>
    </comment>
    <comment ref="P564" authorId="2" shapeId="0" xr:uid="{B4E0D9BB-6E56-49CE-AB36-8056C46E3418}">
      <text>
        <r>
          <rPr>
            <b/>
            <sz val="9"/>
            <color indexed="81"/>
            <rFont val="Tahoma"/>
            <family val="2"/>
          </rPr>
          <t>AGROECOLOGIA:</t>
        </r>
        <r>
          <rPr>
            <sz val="9"/>
            <color indexed="81"/>
            <rFont val="Tahoma"/>
            <family val="2"/>
          </rPr>
          <t xml:space="preserve">
500 ml Tepames Persa
100 ml Las Piedras 2 Mx
350 ml San Pedro 1 Mx
350 ml San Pedro 2 Mx</t>
        </r>
      </text>
    </comment>
    <comment ref="P565" authorId="2" shapeId="0" xr:uid="{97B942BE-D023-4B68-B38D-C8FEC1BA502F}">
      <text>
        <r>
          <rPr>
            <b/>
            <sz val="9"/>
            <color indexed="81"/>
            <rFont val="Tahoma"/>
            <family val="2"/>
          </rPr>
          <t>AGROECOLOGIA:</t>
        </r>
        <r>
          <rPr>
            <sz val="9"/>
            <color indexed="81"/>
            <rFont val="Tahoma"/>
            <family val="2"/>
          </rPr>
          <t xml:space="preserve">
Vivero</t>
        </r>
      </text>
    </comment>
    <comment ref="P566" authorId="2" shapeId="0" xr:uid="{61409235-2509-448F-A24A-F30D65F23066}">
      <text>
        <r>
          <rPr>
            <b/>
            <sz val="9"/>
            <color indexed="81"/>
            <rFont val="Tahoma"/>
            <family val="2"/>
          </rPr>
          <t>AGROECOLOGIA:</t>
        </r>
        <r>
          <rPr>
            <sz val="9"/>
            <color indexed="81"/>
            <rFont val="Tahoma"/>
            <family val="2"/>
          </rPr>
          <t xml:space="preserve">
Vivero
</t>
        </r>
      </text>
    </comment>
    <comment ref="P567" authorId="0" shapeId="0" xr:uid="{DB4346E1-14F6-42F0-9BED-FBF638905ABA}">
      <text>
        <r>
          <rPr>
            <b/>
            <sz val="9"/>
            <color indexed="81"/>
            <rFont val="Tahoma"/>
            <family val="2"/>
          </rPr>
          <t xml:space="preserve">MC:
</t>
        </r>
        <r>
          <rPr>
            <sz val="9"/>
            <color indexed="81"/>
            <rFont val="Tahoma"/>
            <family val="2"/>
          </rPr>
          <t xml:space="preserve">
1 L cortesia Lab Crisopas</t>
        </r>
      </text>
    </comment>
    <comment ref="P568" authorId="2" shapeId="0" xr:uid="{5FAF2C80-5B68-42EC-A8FE-C71DC7425A45}">
      <text>
        <r>
          <rPr>
            <b/>
            <sz val="9"/>
            <color indexed="81"/>
            <rFont val="Tahoma"/>
            <family val="2"/>
          </rPr>
          <t>AGROECOLOGIA:</t>
        </r>
        <r>
          <rPr>
            <sz val="9"/>
            <color indexed="81"/>
            <rFont val="Tahoma"/>
            <family val="2"/>
          </rPr>
          <t xml:space="preserve">
Venta a cliente externo,  el pago se realizó en efectivo a Rubi.con el vale de salida de miel N:0093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MC</author>
  </authors>
  <commentList>
    <comment ref="G7" authorId="0" shapeId="0" xr:uid="{B3479563-0A39-4E9D-89CE-FA6F109E97DC}">
      <text>
        <r>
          <rPr>
            <b/>
            <sz val="9"/>
            <color indexed="81"/>
            <rFont val="Tahoma"/>
            <family val="2"/>
          </rPr>
          <t>MC:</t>
        </r>
        <r>
          <rPr>
            <sz val="9"/>
            <color indexed="81"/>
            <rFont val="Tahoma"/>
            <family val="2"/>
          </rPr>
          <t xml:space="preserve">
$17000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Marae</author>
    <author>MC</author>
    <author>Autor</author>
    <author>marae</author>
  </authors>
  <commentList>
    <comment ref="N3" authorId="0" shapeId="0" xr:uid="{42B93843-D46F-49FC-8F03-E94604C5C250}">
      <text>
        <r>
          <rPr>
            <b/>
            <sz val="9"/>
            <color indexed="81"/>
            <rFont val="Tahoma"/>
            <family val="2"/>
          </rPr>
          <t>Marae:</t>
        </r>
        <r>
          <rPr>
            <sz val="9"/>
            <color indexed="81"/>
            <rFont val="Tahoma"/>
            <family val="2"/>
          </rPr>
          <t xml:space="preserve">
Actualizado principios Ago 2020</t>
        </r>
      </text>
    </comment>
    <comment ref="L5" authorId="1" shapeId="0" xr:uid="{9B4EEBDC-2682-4161-9615-A12387868204}">
      <text>
        <r>
          <rPr>
            <b/>
            <sz val="9"/>
            <color indexed="81"/>
            <rFont val="Tahoma"/>
            <family val="2"/>
          </rPr>
          <t>MC:</t>
        </r>
        <r>
          <rPr>
            <sz val="9"/>
            <color indexed="81"/>
            <rFont val="Tahoma"/>
            <family val="2"/>
          </rPr>
          <t xml:space="preserve">
200 L</t>
        </r>
      </text>
    </comment>
    <comment ref="N6" authorId="1" shapeId="0" xr:uid="{538C8FCA-C274-42A5-96FA-72213D3E4CB0}">
      <text>
        <r>
          <rPr>
            <b/>
            <sz val="9"/>
            <color indexed="81"/>
            <rFont val="Tahoma"/>
            <family val="2"/>
          </rPr>
          <t>MC:</t>
        </r>
        <r>
          <rPr>
            <sz val="9"/>
            <color indexed="81"/>
            <rFont val="Tahoma"/>
            <family val="2"/>
          </rPr>
          <t xml:space="preserve">
($ dls/Kg *tc)/densidad
1.046</t>
        </r>
      </text>
    </comment>
    <comment ref="P6" authorId="2" shapeId="0" xr:uid="{92F5948D-E63D-43EB-AC7F-0A4EA4F72527}">
      <text>
        <r>
          <rPr>
            <b/>
            <sz val="9"/>
            <color indexed="81"/>
            <rFont val="Tahoma"/>
            <family val="2"/>
          </rPr>
          <t>Autor:</t>
        </r>
        <r>
          <rPr>
            <sz val="9"/>
            <color indexed="81"/>
            <rFont val="Tahoma"/>
            <family val="2"/>
          </rPr>
          <t xml:space="preserve">
$18.5/L 2023 incluye 
Costo producion sin INSUMOS
Gastos Administrtivos y Gastos de Ventas
1 persona 1 dia para 1 lote de 400 L
1 persona $408.95/dia
((408.95*2)/800)*H13</t>
        </r>
      </text>
    </comment>
    <comment ref="N7" authorId="1" shapeId="0" xr:uid="{ECF15A96-B43C-44B1-9745-1D5F967BC7A7}">
      <text>
        <r>
          <rPr>
            <b/>
            <sz val="9"/>
            <color indexed="81"/>
            <rFont val="Tahoma"/>
            <family val="2"/>
          </rPr>
          <t>MC:</t>
        </r>
        <r>
          <rPr>
            <sz val="9"/>
            <color indexed="81"/>
            <rFont val="Tahoma"/>
            <family val="2"/>
          </rPr>
          <t xml:space="preserve">
($ dls/Kg *tc)/densidad
0.929</t>
        </r>
      </text>
    </comment>
    <comment ref="N8" authorId="1" shapeId="0" xr:uid="{F3B0E3A0-1F63-4826-A002-CD3686420DDA}">
      <text>
        <r>
          <rPr>
            <b/>
            <sz val="9"/>
            <color indexed="81"/>
            <rFont val="Tahoma"/>
            <family val="2"/>
          </rPr>
          <t>MC:</t>
        </r>
        <r>
          <rPr>
            <sz val="9"/>
            <color indexed="81"/>
            <rFont val="Tahoma"/>
            <family val="2"/>
          </rPr>
          <t xml:space="preserve">
($ dls/Kg *tc)/densidad
0.937</t>
        </r>
      </text>
    </comment>
    <comment ref="N9" authorId="1" shapeId="0" xr:uid="{859A184F-4693-4D13-954A-03E06DC218F7}">
      <text>
        <r>
          <rPr>
            <b/>
            <sz val="9"/>
            <color indexed="81"/>
            <rFont val="Tahoma"/>
            <family val="2"/>
          </rPr>
          <t>MC:</t>
        </r>
        <r>
          <rPr>
            <sz val="9"/>
            <color indexed="81"/>
            <rFont val="Tahoma"/>
            <family val="2"/>
          </rPr>
          <t xml:space="preserve">
($ dls/Kg *tc)/densidad
0.964</t>
        </r>
      </text>
    </comment>
    <comment ref="N10" authorId="1" shapeId="0" xr:uid="{A6651262-3598-411D-BF1D-813B13B08180}">
      <text>
        <r>
          <rPr>
            <b/>
            <sz val="9"/>
            <color indexed="81"/>
            <rFont val="Tahoma"/>
            <family val="2"/>
          </rPr>
          <t>MC:</t>
        </r>
        <r>
          <rPr>
            <sz val="9"/>
            <color indexed="81"/>
            <rFont val="Tahoma"/>
            <family val="2"/>
          </rPr>
          <t xml:space="preserve">
($ dls/Kg *tc)/densidad
0.874</t>
        </r>
      </text>
    </comment>
    <comment ref="Q10" authorId="0" shapeId="0" xr:uid="{566CE01B-83B4-4002-8E91-54D81B8F390D}">
      <text>
        <r>
          <rPr>
            <b/>
            <sz val="9"/>
            <color indexed="81"/>
            <rFont val="Tahoma"/>
            <family val="2"/>
          </rPr>
          <t>Marae:</t>
        </r>
        <r>
          <rPr>
            <sz val="9"/>
            <color indexed="81"/>
            <rFont val="Tahoma"/>
            <family val="2"/>
          </rPr>
          <t xml:space="preserve">
Inlcuye Flete</t>
        </r>
      </text>
    </comment>
    <comment ref="N11" authorId="1" shapeId="0" xr:uid="{3B52E4F1-2802-46CE-A189-23BD7BD532D3}">
      <text>
        <r>
          <rPr>
            <b/>
            <sz val="9"/>
            <color indexed="81"/>
            <rFont val="Tahoma"/>
            <family val="2"/>
          </rPr>
          <t>MC:</t>
        </r>
        <r>
          <rPr>
            <sz val="9"/>
            <color indexed="81"/>
            <rFont val="Tahoma"/>
            <family val="2"/>
          </rPr>
          <t xml:space="preserve">
($ dls/Kg *tc)/densidad
0.849</t>
        </r>
      </text>
    </comment>
    <comment ref="Q11" authorId="0" shapeId="0" xr:uid="{583597C4-4D5F-42AB-B8B8-85946128B64B}">
      <text>
        <r>
          <rPr>
            <b/>
            <sz val="9"/>
            <color indexed="81"/>
            <rFont val="Tahoma"/>
            <family val="2"/>
          </rPr>
          <t>Marae:</t>
        </r>
        <r>
          <rPr>
            <sz val="9"/>
            <color indexed="81"/>
            <rFont val="Tahoma"/>
            <family val="2"/>
          </rPr>
          <t xml:space="preserve">
Sin Flete</t>
        </r>
      </text>
    </comment>
    <comment ref="Q12" authorId="0" shapeId="0" xr:uid="{83FC4E77-4EE5-4795-9D54-5EDD71A8A7DF}">
      <text>
        <r>
          <rPr>
            <b/>
            <sz val="9"/>
            <color indexed="81"/>
            <rFont val="Tahoma"/>
            <family val="2"/>
          </rPr>
          <t>Marae:</t>
        </r>
        <r>
          <rPr>
            <sz val="9"/>
            <color indexed="81"/>
            <rFont val="Tahoma"/>
            <family val="2"/>
          </rPr>
          <t xml:space="preserve">
Sin Flete, sin omri y sin etiqutea</t>
        </r>
      </text>
    </comment>
    <comment ref="N14" authorId="3" shapeId="0" xr:uid="{BE1AB124-F55E-4306-92F3-F07F786E9868}">
      <text>
        <r>
          <rPr>
            <b/>
            <sz val="9"/>
            <color indexed="81"/>
            <rFont val="Tahoma"/>
            <family val="2"/>
          </rPr>
          <t>marae:</t>
        </r>
        <r>
          <rPr>
            <sz val="9"/>
            <color indexed="81"/>
            <rFont val="Tahoma"/>
            <family val="2"/>
          </rPr>
          <t xml:space="preserve">
Se considera los botes de 20 L a un tercio por que se reusan
$/</t>
        </r>
      </text>
    </comment>
    <comment ref="N16" authorId="0" shapeId="0" xr:uid="{0B331F22-EC7B-48A3-980E-010147F7EF7D}">
      <text>
        <r>
          <rPr>
            <b/>
            <sz val="9"/>
            <color indexed="81"/>
            <rFont val="Tahoma"/>
            <family val="2"/>
          </rPr>
          <t>Marae:</t>
        </r>
        <r>
          <rPr>
            <sz val="9"/>
            <color indexed="81"/>
            <rFont val="Tahoma"/>
            <family val="2"/>
          </rPr>
          <t xml:space="preserve">
Minimo Litros anuales
tenia 14,400 lo subi a 15,000</t>
        </r>
      </text>
    </comment>
    <comment ref="N17" authorId="0" shapeId="0" xr:uid="{3A8CD260-5686-48A2-9CDC-EFEF684C867E}">
      <text>
        <r>
          <rPr>
            <b/>
            <sz val="9"/>
            <color indexed="81"/>
            <rFont val="Tahoma"/>
            <family val="2"/>
          </rPr>
          <t>Marae:</t>
        </r>
        <r>
          <rPr>
            <sz val="9"/>
            <color indexed="81"/>
            <rFont val="Tahoma"/>
            <family val="2"/>
          </rPr>
          <t xml:space="preserve">
El flete interno nos cuesta aprox con 1/2 termo $14.00/L
y por 3 Guerras recoleccion en Tecoman $17.5/L</t>
        </r>
      </text>
    </comment>
    <comment ref="L18" authorId="1" shapeId="0" xr:uid="{7ABC0FF6-1150-49D5-88B0-432D6256ABF7}">
      <text>
        <r>
          <rPr>
            <b/>
            <sz val="9"/>
            <color indexed="81"/>
            <rFont val="Tahoma"/>
            <family val="2"/>
          </rPr>
          <t>MC:</t>
        </r>
        <r>
          <rPr>
            <sz val="9"/>
            <color indexed="81"/>
            <rFont val="Tahoma"/>
            <family val="2"/>
          </rPr>
          <t xml:space="preserve">
200 L</t>
        </r>
      </text>
    </comment>
    <comment ref="N19" authorId="1" shapeId="0" xr:uid="{CC51A1FB-CC41-4AAD-99D5-2CA2850B00B9}">
      <text>
        <r>
          <rPr>
            <b/>
            <sz val="9"/>
            <color indexed="81"/>
            <rFont val="Tahoma"/>
            <family val="2"/>
          </rPr>
          <t>MC:</t>
        </r>
        <r>
          <rPr>
            <sz val="9"/>
            <color indexed="81"/>
            <rFont val="Tahoma"/>
            <family val="2"/>
          </rPr>
          <t xml:space="preserve">
($ dls/Kg *tc)/densidad
1.046</t>
        </r>
      </text>
    </comment>
    <comment ref="P19" authorId="2" shapeId="0" xr:uid="{A83D60D5-A5EC-4E96-BC1D-1CCDE52FDFAE}">
      <text>
        <r>
          <rPr>
            <b/>
            <sz val="9"/>
            <color indexed="81"/>
            <rFont val="Tahoma"/>
            <family val="2"/>
          </rPr>
          <t>Autor:</t>
        </r>
        <r>
          <rPr>
            <sz val="9"/>
            <color indexed="81"/>
            <rFont val="Tahoma"/>
            <family val="2"/>
          </rPr>
          <t xml:space="preserve">
$18.5/L 2023 incluye 
Costo producion sin INSUMOS
Gastos Administrtivos y Gastos de Ventas
1 persona 1 dia para 1 lote de 400 L
1 persona $408.95/dia
((408.95*2)/800)*H13</t>
        </r>
      </text>
    </comment>
    <comment ref="N20" authorId="1" shapeId="0" xr:uid="{017C290B-E8BA-4756-8DE2-C67238F685DE}">
      <text>
        <r>
          <rPr>
            <b/>
            <sz val="9"/>
            <color indexed="81"/>
            <rFont val="Tahoma"/>
            <family val="2"/>
          </rPr>
          <t>MC:</t>
        </r>
        <r>
          <rPr>
            <sz val="9"/>
            <color indexed="81"/>
            <rFont val="Tahoma"/>
            <family val="2"/>
          </rPr>
          <t xml:space="preserve">
($ dls/Kg *tc)/densidad
0.965</t>
        </r>
      </text>
    </comment>
    <comment ref="N21" authorId="1" shapeId="0" xr:uid="{2BEA82CC-B744-4220-AE59-1057DF695849}">
      <text>
        <r>
          <rPr>
            <b/>
            <sz val="9"/>
            <color indexed="81"/>
            <rFont val="Tahoma"/>
            <family val="2"/>
          </rPr>
          <t>MC:</t>
        </r>
        <r>
          <rPr>
            <sz val="9"/>
            <color indexed="81"/>
            <rFont val="Tahoma"/>
            <family val="2"/>
          </rPr>
          <t xml:space="preserve">
($ dls/Kg *tc)/densidad
0.849</t>
        </r>
      </text>
    </comment>
    <comment ref="Q23" authorId="0" shapeId="0" xr:uid="{F4F531D9-809E-4CE1-8D52-E1CC797605C5}">
      <text>
        <r>
          <rPr>
            <b/>
            <sz val="9"/>
            <color indexed="81"/>
            <rFont val="Tahoma"/>
            <family val="2"/>
          </rPr>
          <t>Marae:</t>
        </r>
        <r>
          <rPr>
            <sz val="9"/>
            <color indexed="81"/>
            <rFont val="Tahoma"/>
            <family val="2"/>
          </rPr>
          <t xml:space="preserve">
Inlcuye Flete</t>
        </r>
      </text>
    </comment>
    <comment ref="N24" authorId="3" shapeId="0" xr:uid="{007BD56F-C9D7-447C-9C72-F80964409564}">
      <text>
        <r>
          <rPr>
            <b/>
            <sz val="9"/>
            <color indexed="81"/>
            <rFont val="Tahoma"/>
            <family val="2"/>
          </rPr>
          <t>marae:</t>
        </r>
        <r>
          <rPr>
            <sz val="9"/>
            <color indexed="81"/>
            <rFont val="Tahoma"/>
            <family val="2"/>
          </rPr>
          <t xml:space="preserve">
Se considera los botes de 20 L a un tercio por que se reusan
$/</t>
        </r>
      </text>
    </comment>
    <comment ref="Q24" authorId="0" shapeId="0" xr:uid="{C356F772-D4EF-4B93-A36A-1266BE54DC93}">
      <text>
        <r>
          <rPr>
            <b/>
            <sz val="9"/>
            <color indexed="81"/>
            <rFont val="Tahoma"/>
            <family val="2"/>
          </rPr>
          <t>Marae:</t>
        </r>
        <r>
          <rPr>
            <sz val="9"/>
            <color indexed="81"/>
            <rFont val="Tahoma"/>
            <family val="2"/>
          </rPr>
          <t xml:space="preserve">
Sin Flete</t>
        </r>
      </text>
    </comment>
    <comment ref="Q25" authorId="0" shapeId="0" xr:uid="{9FE4E595-7C1A-4FB4-8384-837E6F808F61}">
      <text>
        <r>
          <rPr>
            <b/>
            <sz val="9"/>
            <color indexed="81"/>
            <rFont val="Tahoma"/>
            <family val="2"/>
          </rPr>
          <t>Marae:</t>
        </r>
        <r>
          <rPr>
            <sz val="9"/>
            <color indexed="81"/>
            <rFont val="Tahoma"/>
            <family val="2"/>
          </rPr>
          <t xml:space="preserve">
Sin Flete, sin omri y sin etiqutea</t>
        </r>
      </text>
    </comment>
    <comment ref="N26" authorId="0" shapeId="0" xr:uid="{78F5E3AF-36EC-4486-B352-79A4F685CA8D}">
      <text>
        <r>
          <rPr>
            <b/>
            <sz val="9"/>
            <color indexed="81"/>
            <rFont val="Tahoma"/>
            <family val="2"/>
          </rPr>
          <t>Marae:</t>
        </r>
        <r>
          <rPr>
            <sz val="9"/>
            <color indexed="81"/>
            <rFont val="Tahoma"/>
            <family val="2"/>
          </rPr>
          <t xml:space="preserve">
Minimo Litros anuales
tenia 14,400 lo subi a 15,000</t>
        </r>
      </text>
    </comment>
    <comment ref="N27" authorId="0" shapeId="0" xr:uid="{0B6C61B6-BB60-4D2E-BBDB-F3180EB3EC03}">
      <text>
        <r>
          <rPr>
            <b/>
            <sz val="9"/>
            <color indexed="81"/>
            <rFont val="Tahoma"/>
            <family val="2"/>
          </rPr>
          <t>Marae:</t>
        </r>
        <r>
          <rPr>
            <sz val="9"/>
            <color indexed="81"/>
            <rFont val="Tahoma"/>
            <family val="2"/>
          </rPr>
          <t xml:space="preserve">
El flete interno nos cuesta aprox con 1/2 termo $14.00/L
y por 3 Guerras recoleccion en Tecoman $17.5/L</t>
        </r>
      </text>
    </comment>
    <comment ref="H28" authorId="1" shapeId="0" xr:uid="{66D00421-BF7A-496A-9531-21A3CA93CE4C}">
      <text>
        <r>
          <rPr>
            <b/>
            <sz val="9"/>
            <color indexed="81"/>
            <rFont val="Tahoma"/>
            <family val="2"/>
          </rPr>
          <t>MC:</t>
        </r>
        <r>
          <rPr>
            <sz val="9"/>
            <color indexed="81"/>
            <rFont val="Tahoma"/>
            <family val="2"/>
          </rPr>
          <t xml:space="preserve">
La dosis del Brand
5 ml/L (2.5 L/500 L) sugerimos bajar y probar por el tema de los glicinatos:
opcion 1
4 ml/L (2 L/500 L)
opcion 2
3 ml/L (1.5 ml/500 L)</t>
        </r>
      </text>
    </comment>
    <comment ref="L28" authorId="1" shapeId="0" xr:uid="{52779DBB-DEA4-4B3D-A082-12CBB554AAE4}">
      <text>
        <r>
          <rPr>
            <b/>
            <sz val="9"/>
            <color indexed="81"/>
            <rFont val="Tahoma"/>
            <family val="2"/>
          </rPr>
          <t>MC:</t>
        </r>
        <r>
          <rPr>
            <sz val="9"/>
            <color indexed="81"/>
            <rFont val="Tahoma"/>
            <family val="2"/>
          </rPr>
          <t xml:space="preserve">
200 L</t>
        </r>
      </text>
    </comment>
    <comment ref="N28" authorId="1" shapeId="0" xr:uid="{B94861FC-AF92-4532-9CFD-DF4F915CAC8A}">
      <text>
        <r>
          <rPr>
            <b/>
            <sz val="9"/>
            <color indexed="81"/>
            <rFont val="Tahoma"/>
            <family val="2"/>
          </rPr>
          <t>MC:</t>
        </r>
        <r>
          <rPr>
            <sz val="9"/>
            <color indexed="81"/>
            <rFont val="Tahoma"/>
            <family val="2"/>
          </rPr>
          <t xml:space="preserve">
Preco del Brand Crop Mix
dosis 2.5 L/Ha/500 L</t>
        </r>
      </text>
    </comment>
    <comment ref="P29" authorId="2" shapeId="0" xr:uid="{C90FAAC6-57D0-4C05-AD44-58A3FB51ECAF}">
      <text>
        <r>
          <rPr>
            <b/>
            <sz val="9"/>
            <color indexed="81"/>
            <rFont val="Tahoma"/>
            <family val="2"/>
          </rPr>
          <t>Autor:</t>
        </r>
        <r>
          <rPr>
            <sz val="9"/>
            <color indexed="81"/>
            <rFont val="Tahoma"/>
            <family val="2"/>
          </rPr>
          <t xml:space="preserve">
$18.5/L 2023 incluye 
Costo producion sin INSUMOS
Gastos Administrtivos y Gastos de Ventas
1 persona 1 dia para 1 lote de 400 L
1 persona $408.95/dia
((408.95*2)/800)*H13</t>
        </r>
      </text>
    </comment>
    <comment ref="K30" authorId="1" shapeId="0" xr:uid="{172C2E40-A3E8-4113-9968-2118D3571FD3}">
      <text>
        <r>
          <rPr>
            <b/>
            <sz val="9"/>
            <color indexed="81"/>
            <rFont val="Tahoma"/>
            <family val="2"/>
          </rPr>
          <t>MC:</t>
        </r>
        <r>
          <rPr>
            <sz val="9"/>
            <color indexed="81"/>
            <rFont val="Tahoma"/>
            <family val="2"/>
          </rPr>
          <t xml:space="preserve">
20%</t>
        </r>
      </text>
    </comment>
    <comment ref="N30" authorId="1" shapeId="0" xr:uid="{A1CBBECF-573C-4AE7-9EC7-F4751374CD01}">
      <text>
        <r>
          <rPr>
            <b/>
            <sz val="9"/>
            <color indexed="81"/>
            <rFont val="Tahoma"/>
            <family val="2"/>
          </rPr>
          <t>MC:</t>
        </r>
        <r>
          <rPr>
            <sz val="9"/>
            <color indexed="81"/>
            <rFont val="Tahoma"/>
            <family val="2"/>
          </rPr>
          <t xml:space="preserve">
=285+(900/200)
 por pedidos mayor 1 ton
$255.0 +  IVA flete incluido
$273</t>
        </r>
      </text>
    </comment>
    <comment ref="K31" authorId="1" shapeId="0" xr:uid="{21EDAACC-0995-4191-A2B1-3E3B4DA17269}">
      <text>
        <r>
          <rPr>
            <b/>
            <sz val="9"/>
            <color indexed="81"/>
            <rFont val="Tahoma"/>
            <family val="2"/>
          </rPr>
          <t>MC:</t>
        </r>
        <r>
          <rPr>
            <sz val="9"/>
            <color indexed="81"/>
            <rFont val="Tahoma"/>
            <family val="2"/>
          </rPr>
          <t xml:space="preserve">
22%</t>
        </r>
      </text>
    </comment>
    <comment ref="N31" authorId="1" shapeId="0" xr:uid="{70CAE6DE-6194-4783-AD58-E6FE66BA20CA}">
      <text>
        <r>
          <rPr>
            <b/>
            <sz val="9"/>
            <color indexed="81"/>
            <rFont val="Tahoma"/>
            <family val="2"/>
          </rPr>
          <t>MC:</t>
        </r>
        <r>
          <rPr>
            <sz val="9"/>
            <color indexed="81"/>
            <rFont val="Tahoma"/>
            <family val="2"/>
          </rPr>
          <t xml:space="preserve">
=285+(900/200)
 por pedidos mayor 1 ton
$255.0 +  IVA flete incluido</t>
        </r>
      </text>
    </comment>
    <comment ref="K32" authorId="1" shapeId="0" xr:uid="{D432E0BE-1AF7-4783-9747-1657FD90FD1E}">
      <text>
        <r>
          <rPr>
            <b/>
            <sz val="9"/>
            <color indexed="81"/>
            <rFont val="Tahoma"/>
            <family val="2"/>
          </rPr>
          <t>MC:</t>
        </r>
        <r>
          <rPr>
            <sz val="9"/>
            <color indexed="81"/>
            <rFont val="Tahoma"/>
            <family val="2"/>
          </rPr>
          <t xml:space="preserve">
26%</t>
        </r>
      </text>
    </comment>
    <comment ref="N32" authorId="1" shapeId="0" xr:uid="{C7D7932C-41EC-47AC-A887-055364351D67}">
      <text>
        <r>
          <rPr>
            <b/>
            <sz val="9"/>
            <color indexed="81"/>
            <rFont val="Tahoma"/>
            <family val="2"/>
          </rPr>
          <t>MC:</t>
        </r>
        <r>
          <rPr>
            <sz val="9"/>
            <color indexed="81"/>
            <rFont val="Tahoma"/>
            <family val="2"/>
          </rPr>
          <t xml:space="preserve">
=285+(900/200)
 por pedidos mayor 1 ton
$255.0 +  IVA flete incluido</t>
        </r>
      </text>
    </comment>
    <comment ref="K33" authorId="1" shapeId="0" xr:uid="{DA1F2E6A-3BEE-43AA-843F-6A86AC1D4E21}">
      <text>
        <r>
          <rPr>
            <b/>
            <sz val="9"/>
            <color indexed="81"/>
            <rFont val="Tahoma"/>
            <family val="2"/>
          </rPr>
          <t>MC:</t>
        </r>
        <r>
          <rPr>
            <sz val="9"/>
            <color indexed="81"/>
            <rFont val="Tahoma"/>
            <family val="2"/>
          </rPr>
          <t xml:space="preserve">
99.5%</t>
        </r>
      </text>
    </comment>
    <comment ref="N33" authorId="1" shapeId="0" xr:uid="{751E5D89-184B-4E22-86D4-A5E2F95BA419}">
      <text>
        <r>
          <rPr>
            <b/>
            <sz val="9"/>
            <color indexed="81"/>
            <rFont val="Tahoma"/>
            <family val="2"/>
          </rPr>
          <t>MC:</t>
        </r>
        <r>
          <rPr>
            <sz val="9"/>
            <color indexed="81"/>
            <rFont val="Tahoma"/>
            <family val="2"/>
          </rPr>
          <t xml:space="preserve">
9.55 dls/kg + iva
$11.0916 dls/Kg mas envio
</t>
        </r>
      </text>
    </comment>
    <comment ref="Q33" authorId="0" shapeId="0" xr:uid="{03CA4971-CCD2-4DD5-819A-7C65577D3549}">
      <text>
        <r>
          <rPr>
            <b/>
            <sz val="9"/>
            <color indexed="81"/>
            <rFont val="Tahoma"/>
            <family val="2"/>
          </rPr>
          <t>Marae:</t>
        </r>
        <r>
          <rPr>
            <sz val="9"/>
            <color indexed="81"/>
            <rFont val="Tahoma"/>
            <family val="2"/>
          </rPr>
          <t xml:space="preserve">
Inlcuye Flete</t>
        </r>
      </text>
    </comment>
    <comment ref="Q34" authorId="0" shapeId="0" xr:uid="{5B68A5BB-A62A-440F-9316-083FCBD4DA51}">
      <text>
        <r>
          <rPr>
            <b/>
            <sz val="9"/>
            <color indexed="81"/>
            <rFont val="Tahoma"/>
            <family val="2"/>
          </rPr>
          <t>Marae:</t>
        </r>
        <r>
          <rPr>
            <sz val="9"/>
            <color indexed="81"/>
            <rFont val="Tahoma"/>
            <family val="2"/>
          </rPr>
          <t xml:space="preserve">
Sin Flete</t>
        </r>
      </text>
    </comment>
    <comment ref="N35" authorId="3" shapeId="0" xr:uid="{4E2284A3-2138-4F50-A590-41A417F0D380}">
      <text>
        <r>
          <rPr>
            <b/>
            <sz val="9"/>
            <color indexed="81"/>
            <rFont val="Tahoma"/>
            <family val="2"/>
          </rPr>
          <t>marae:</t>
        </r>
        <r>
          <rPr>
            <sz val="9"/>
            <color indexed="81"/>
            <rFont val="Tahoma"/>
            <family val="2"/>
          </rPr>
          <t xml:space="preserve">
Se considera los botes de 20 L a un tercio por que se reusan
$/</t>
        </r>
      </text>
    </comment>
    <comment ref="Q35" authorId="0" shapeId="0" xr:uid="{83957933-E7FD-451D-845D-2B859CE58B43}">
      <text>
        <r>
          <rPr>
            <b/>
            <sz val="9"/>
            <color indexed="81"/>
            <rFont val="Tahoma"/>
            <family val="2"/>
          </rPr>
          <t>Marae:</t>
        </r>
        <r>
          <rPr>
            <sz val="9"/>
            <color indexed="81"/>
            <rFont val="Tahoma"/>
            <family val="2"/>
          </rPr>
          <t xml:space="preserve">
Sin Flete, sin omri y sin etiqutea</t>
        </r>
      </text>
    </comment>
    <comment ref="N37" authorId="0" shapeId="0" xr:uid="{3DABB03B-5686-4842-BEB1-BD5823A19F5A}">
      <text>
        <r>
          <rPr>
            <b/>
            <sz val="9"/>
            <color indexed="81"/>
            <rFont val="Tahoma"/>
            <family val="2"/>
          </rPr>
          <t>Marae:</t>
        </r>
        <r>
          <rPr>
            <sz val="9"/>
            <color indexed="81"/>
            <rFont val="Tahoma"/>
            <family val="2"/>
          </rPr>
          <t xml:space="preserve">
Minimo Litros anuales
tenia 14,400 lo subi a 15,000</t>
        </r>
      </text>
    </comment>
    <comment ref="N38" authorId="0" shapeId="0" xr:uid="{0EECD20C-4BD1-4E0A-AC8A-6F0E4350AF42}">
      <text>
        <r>
          <rPr>
            <b/>
            <sz val="9"/>
            <color indexed="81"/>
            <rFont val="Tahoma"/>
            <family val="2"/>
          </rPr>
          <t>Marae:</t>
        </r>
        <r>
          <rPr>
            <sz val="9"/>
            <color indexed="81"/>
            <rFont val="Tahoma"/>
            <family val="2"/>
          </rPr>
          <t xml:space="preserve">
El flete interno nos cuesta aprox con 1/2 termo $14.00/L
y por 3 Guerras recoleccion en Tecoman $17.5/L</t>
        </r>
      </text>
    </comment>
    <comment ref="B39" authorId="0" shapeId="0" xr:uid="{018E87E2-8EA8-4615-85EE-4A994E4ADE85}">
      <text>
        <r>
          <rPr>
            <b/>
            <sz val="9"/>
            <color indexed="81"/>
            <rFont val="Tahoma"/>
            <family val="2"/>
          </rPr>
          <t>Marae:</t>
        </r>
        <r>
          <rPr>
            <sz val="9"/>
            <color indexed="81"/>
            <rFont val="Tahoma"/>
            <family val="2"/>
          </rPr>
          <t xml:space="preserve">
Acharoot No. 6</t>
        </r>
      </text>
    </comment>
    <comment ref="L39" authorId="1" shapeId="0" xr:uid="{D2F4BC77-5EBF-4198-A709-3080B3DFD401}">
      <text>
        <r>
          <rPr>
            <b/>
            <sz val="9"/>
            <color indexed="81"/>
            <rFont val="Tahoma"/>
            <family val="2"/>
          </rPr>
          <t>MC:</t>
        </r>
        <r>
          <rPr>
            <sz val="9"/>
            <color indexed="81"/>
            <rFont val="Tahoma"/>
            <family val="2"/>
          </rPr>
          <t xml:space="preserve">
1000 L</t>
        </r>
      </text>
    </comment>
    <comment ref="P40" authorId="2" shapeId="0" xr:uid="{A22E578A-5F69-4CC3-A6BD-4B016A7F05BD}">
      <text>
        <r>
          <rPr>
            <b/>
            <sz val="9"/>
            <color indexed="81"/>
            <rFont val="Tahoma"/>
            <family val="2"/>
          </rPr>
          <t>Autor:</t>
        </r>
        <r>
          <rPr>
            <sz val="9"/>
            <color indexed="81"/>
            <rFont val="Tahoma"/>
            <family val="2"/>
          </rPr>
          <t xml:space="preserve">
1 persona 1 dia para 1 lote de 400 L
1 persona $335/dia
=((408.95*2)/800)*H38</t>
        </r>
      </text>
    </comment>
    <comment ref="K42" authorId="2" shapeId="0" xr:uid="{B7D8B6B1-C334-4163-AE70-9474935289D6}">
      <text>
        <r>
          <rPr>
            <b/>
            <sz val="9"/>
            <color indexed="81"/>
            <rFont val="Tahoma"/>
            <family val="2"/>
          </rPr>
          <t>Autor:</t>
        </r>
        <r>
          <rPr>
            <sz val="9"/>
            <color indexed="81"/>
            <rFont val="Tahoma"/>
            <family val="2"/>
          </rPr>
          <t xml:space="preserve">
[12:61:00]
</t>
        </r>
      </text>
    </comment>
    <comment ref="U42" authorId="0" shapeId="0" xr:uid="{8645FF52-0D7C-40A0-AF12-FF848EC93FD4}">
      <text>
        <r>
          <rPr>
            <b/>
            <sz val="9"/>
            <color indexed="81"/>
            <rFont val="Tahoma"/>
            <family val="2"/>
          </rPr>
          <t>Marae:</t>
        </r>
        <r>
          <rPr>
            <sz val="9"/>
            <color indexed="81"/>
            <rFont val="Tahoma"/>
            <family val="2"/>
          </rPr>
          <t xml:space="preserve">
=((P41*60)/2000)*1</t>
        </r>
      </text>
    </comment>
    <comment ref="P44" authorId="0" shapeId="0" xr:uid="{D9D86DAB-DFD6-4F6A-8F59-9A4CD38B37C6}">
      <text>
        <r>
          <rPr>
            <b/>
            <sz val="9"/>
            <color indexed="81"/>
            <rFont val="Tahoma"/>
            <family val="2"/>
          </rPr>
          <t>Marae:</t>
        </r>
        <r>
          <rPr>
            <sz val="9"/>
            <color indexed="81"/>
            <rFont val="Tahoma"/>
            <family val="2"/>
          </rPr>
          <t xml:space="preserve">
$60</t>
        </r>
      </text>
    </comment>
    <comment ref="Q44" authorId="0" shapeId="0" xr:uid="{DAD28F60-7462-4084-9DD7-657D04406670}">
      <text>
        <r>
          <rPr>
            <b/>
            <sz val="9"/>
            <color indexed="81"/>
            <rFont val="Tahoma"/>
            <family val="2"/>
          </rPr>
          <t>Marae:</t>
        </r>
        <r>
          <rPr>
            <sz val="9"/>
            <color indexed="81"/>
            <rFont val="Tahoma"/>
            <family val="2"/>
          </rPr>
          <t xml:space="preserve">
Inlcuye Flete</t>
        </r>
      </text>
    </comment>
    <comment ref="N45" authorId="1" shapeId="0" xr:uid="{472B3CD8-5345-4483-AFD3-2A3C7E7BD28E}">
      <text>
        <r>
          <rPr>
            <b/>
            <sz val="9"/>
            <color indexed="81"/>
            <rFont val="Tahoma"/>
            <family val="2"/>
          </rPr>
          <t>MC:</t>
        </r>
        <r>
          <rPr>
            <sz val="9"/>
            <color indexed="81"/>
            <rFont val="Tahoma"/>
            <family val="2"/>
          </rPr>
          <t xml:space="preserve">
En la formulacion de MRF se emplea el NaOH al 70% esto es 71.4 kg/100 L por lo tanto la densidad es de 1kg = 1.4 L o
1 L = 0.714 kg</t>
        </r>
      </text>
    </comment>
    <comment ref="P45" authorId="0" shapeId="0" xr:uid="{56747358-66AF-42DE-B810-1DED646B4E72}">
      <text>
        <r>
          <rPr>
            <b/>
            <sz val="9"/>
            <color indexed="81"/>
            <rFont val="Tahoma"/>
            <family val="2"/>
          </rPr>
          <t>Marae:</t>
        </r>
        <r>
          <rPr>
            <sz val="9"/>
            <color indexed="81"/>
            <rFont val="Tahoma"/>
            <family val="2"/>
          </rPr>
          <t xml:space="preserve">
$45</t>
        </r>
      </text>
    </comment>
    <comment ref="Q45" authorId="0" shapeId="0" xr:uid="{0DEC3FAB-E2DF-4D6A-A439-0C75FEC6F70F}">
      <text>
        <r>
          <rPr>
            <b/>
            <sz val="9"/>
            <color indexed="81"/>
            <rFont val="Tahoma"/>
            <family val="2"/>
          </rPr>
          <t>Marae:</t>
        </r>
        <r>
          <rPr>
            <sz val="9"/>
            <color indexed="81"/>
            <rFont val="Tahoma"/>
            <family val="2"/>
          </rPr>
          <t xml:space="preserve">
Sin Flete</t>
        </r>
      </text>
    </comment>
    <comment ref="P46" authorId="0" shapeId="0" xr:uid="{064FB7BF-A60B-4D10-A969-EE9FED4CD04A}">
      <text>
        <r>
          <rPr>
            <b/>
            <sz val="9"/>
            <color indexed="81"/>
            <rFont val="Tahoma"/>
            <family val="2"/>
          </rPr>
          <t>Marae:</t>
        </r>
        <r>
          <rPr>
            <sz val="9"/>
            <color indexed="81"/>
            <rFont val="Tahoma"/>
            <family val="2"/>
          </rPr>
          <t xml:space="preserve">
$40</t>
        </r>
      </text>
    </comment>
    <comment ref="Q46" authorId="0" shapeId="0" xr:uid="{1D44FB57-ED95-4324-8D02-F7814C36F655}">
      <text>
        <r>
          <rPr>
            <b/>
            <sz val="9"/>
            <color indexed="81"/>
            <rFont val="Tahoma"/>
            <family val="2"/>
          </rPr>
          <t>Marae:</t>
        </r>
        <r>
          <rPr>
            <sz val="9"/>
            <color indexed="81"/>
            <rFont val="Tahoma"/>
            <family val="2"/>
          </rPr>
          <t xml:space="preserve">
Sin Flete, sin omri y sin etiqutea</t>
        </r>
      </text>
    </comment>
    <comment ref="U46" authorId="0" shapeId="0" xr:uid="{B1A08A9E-C083-4BB5-A15B-24E73AF03E8C}">
      <text>
        <r>
          <rPr>
            <b/>
            <sz val="9"/>
            <color indexed="81"/>
            <rFont val="Tahoma"/>
            <family val="2"/>
          </rPr>
          <t>Marae:</t>
        </r>
        <r>
          <rPr>
            <sz val="9"/>
            <color indexed="81"/>
            <rFont val="Tahoma"/>
            <family val="2"/>
          </rPr>
          <t xml:space="preserve">
=((P41*60)/2000)*0.5</t>
        </r>
      </text>
    </comment>
    <comment ref="N47" authorId="3" shapeId="0" xr:uid="{B22834BE-B182-4AEC-A1C8-3B0BEADAD976}">
      <text>
        <r>
          <rPr>
            <b/>
            <sz val="9"/>
            <color indexed="81"/>
            <rFont val="Tahoma"/>
            <family val="2"/>
          </rPr>
          <t>marae:</t>
        </r>
        <r>
          <rPr>
            <sz val="9"/>
            <color indexed="81"/>
            <rFont val="Tahoma"/>
            <family val="2"/>
          </rPr>
          <t xml:space="preserve">
Se considera los botes de 20 L a un tercio por que se reusan
$/</t>
        </r>
      </text>
    </comment>
    <comment ref="N49" authorId="0" shapeId="0" xr:uid="{8AF7ECCC-C921-4315-9F8E-B43AE5291915}">
      <text>
        <r>
          <rPr>
            <b/>
            <sz val="9"/>
            <color indexed="81"/>
            <rFont val="Tahoma"/>
            <family val="2"/>
          </rPr>
          <t>Marae:</t>
        </r>
        <r>
          <rPr>
            <sz val="9"/>
            <color indexed="81"/>
            <rFont val="Tahoma"/>
            <family val="2"/>
          </rPr>
          <t xml:space="preserve">
Minimo Litros anuales
tenia 14,400 lo subi a 15,000</t>
        </r>
      </text>
    </comment>
    <comment ref="N50" authorId="0" shapeId="0" xr:uid="{9559392B-DC79-4AD9-8963-882C0261CC2E}">
      <text>
        <r>
          <rPr>
            <b/>
            <sz val="9"/>
            <color indexed="81"/>
            <rFont val="Tahoma"/>
            <family val="2"/>
          </rPr>
          <t>Marae:</t>
        </r>
        <r>
          <rPr>
            <sz val="9"/>
            <color indexed="81"/>
            <rFont val="Tahoma"/>
            <family val="2"/>
          </rPr>
          <t xml:space="preserve">
El flete interno nos cuesta aprox con 1/2 termo $14.00/L
y por 3 Guerras recoleccion en Tecoman $17.5/L</t>
        </r>
      </text>
    </comment>
    <comment ref="B51" authorId="0" shapeId="0" xr:uid="{A6D373F2-58FC-421D-9CCA-E9DB03B167A8}">
      <text>
        <r>
          <rPr>
            <b/>
            <sz val="9"/>
            <color indexed="81"/>
            <rFont val="Tahoma"/>
            <family val="2"/>
          </rPr>
          <t>Marae:</t>
        </r>
        <r>
          <rPr>
            <sz val="9"/>
            <color indexed="81"/>
            <rFont val="Tahoma"/>
            <family val="2"/>
          </rPr>
          <t xml:space="preserve">
Acharoot No. 6</t>
        </r>
      </text>
    </comment>
    <comment ref="L51" authorId="1" shapeId="0" xr:uid="{E9548B85-5EFE-4E8A-B114-F954603A6E43}">
      <text>
        <r>
          <rPr>
            <b/>
            <sz val="9"/>
            <color indexed="81"/>
            <rFont val="Tahoma"/>
            <family val="2"/>
          </rPr>
          <t>MC:</t>
        </r>
        <r>
          <rPr>
            <sz val="9"/>
            <color indexed="81"/>
            <rFont val="Tahoma"/>
            <family val="2"/>
          </rPr>
          <t xml:space="preserve">
1000 L</t>
        </r>
      </text>
    </comment>
    <comment ref="P52" authorId="2" shapeId="0" xr:uid="{244798B2-0D4E-49C9-A1C8-916A41CCC8CA}">
      <text>
        <r>
          <rPr>
            <b/>
            <sz val="9"/>
            <color indexed="81"/>
            <rFont val="Tahoma"/>
            <family val="2"/>
          </rPr>
          <t>Autor:</t>
        </r>
        <r>
          <rPr>
            <sz val="9"/>
            <color indexed="81"/>
            <rFont val="Tahoma"/>
            <family val="2"/>
          </rPr>
          <t xml:space="preserve">
1 persona 1 dia para 1 lote de 400 L
1 persona $335/dia
=((408.95*2)/800)*H38</t>
        </r>
      </text>
    </comment>
    <comment ref="U54" authorId="0" shapeId="0" xr:uid="{680CF0C0-F671-41F4-87E5-FA9EAD1F4080}">
      <text>
        <r>
          <rPr>
            <b/>
            <sz val="9"/>
            <color indexed="81"/>
            <rFont val="Tahoma"/>
            <family val="2"/>
          </rPr>
          <t>Marae:</t>
        </r>
        <r>
          <rPr>
            <sz val="9"/>
            <color indexed="81"/>
            <rFont val="Tahoma"/>
            <family val="2"/>
          </rPr>
          <t xml:space="preserve">
=((P41*60)/2000)*1</t>
        </r>
      </text>
    </comment>
    <comment ref="N56" authorId="1" shapeId="0" xr:uid="{CC288E2D-9261-4D75-B1D9-68CB0B346ADB}">
      <text>
        <r>
          <rPr>
            <b/>
            <sz val="9"/>
            <color indexed="81"/>
            <rFont val="Tahoma"/>
            <family val="2"/>
          </rPr>
          <t>MC:</t>
        </r>
        <r>
          <rPr>
            <sz val="9"/>
            <color indexed="81"/>
            <rFont val="Tahoma"/>
            <family val="2"/>
          </rPr>
          <t xml:space="preserve">
En la formulacion de MRF se emplea el NaOH al 70% esto es 71.4 kg/100 L por lo tanto la densidad es de 1kg = 1.4 L o
1 L = 0.714 kg</t>
        </r>
      </text>
    </comment>
    <comment ref="P56" authorId="0" shapeId="0" xr:uid="{B3F66D1C-38CE-4179-9889-81814F588A62}">
      <text>
        <r>
          <rPr>
            <b/>
            <sz val="9"/>
            <color indexed="81"/>
            <rFont val="Tahoma"/>
            <family val="2"/>
          </rPr>
          <t>Marae:</t>
        </r>
        <r>
          <rPr>
            <sz val="9"/>
            <color indexed="81"/>
            <rFont val="Tahoma"/>
            <family val="2"/>
          </rPr>
          <t xml:space="preserve">
$60</t>
        </r>
      </text>
    </comment>
    <comment ref="Q56" authorId="0" shapeId="0" xr:uid="{D4233895-6139-4838-B07A-DADA49E6B2AD}">
      <text>
        <r>
          <rPr>
            <b/>
            <sz val="9"/>
            <color indexed="81"/>
            <rFont val="Tahoma"/>
            <family val="2"/>
          </rPr>
          <t>Marae:</t>
        </r>
        <r>
          <rPr>
            <sz val="9"/>
            <color indexed="81"/>
            <rFont val="Tahoma"/>
            <family val="2"/>
          </rPr>
          <t xml:space="preserve">
Inlcuye Flete</t>
        </r>
      </text>
    </comment>
    <comment ref="N58" authorId="3" shapeId="0" xr:uid="{CB84CD6F-8CD9-49AC-ACF6-500D9F8FF6AC}">
      <text>
        <r>
          <rPr>
            <b/>
            <sz val="9"/>
            <color indexed="81"/>
            <rFont val="Tahoma"/>
            <family val="2"/>
          </rPr>
          <t>marae:</t>
        </r>
        <r>
          <rPr>
            <sz val="9"/>
            <color indexed="81"/>
            <rFont val="Tahoma"/>
            <family val="2"/>
          </rPr>
          <t xml:space="preserve">
Se considera los botes de 20 L a un tercio por que se reusan
$/</t>
        </r>
      </text>
    </comment>
    <comment ref="N60" authorId="0" shapeId="0" xr:uid="{96165838-5A56-44AA-808A-1ECEF53F9A72}">
      <text>
        <r>
          <rPr>
            <b/>
            <sz val="9"/>
            <color indexed="81"/>
            <rFont val="Tahoma"/>
            <family val="2"/>
          </rPr>
          <t>Marae:</t>
        </r>
        <r>
          <rPr>
            <sz val="9"/>
            <color indexed="81"/>
            <rFont val="Tahoma"/>
            <family val="2"/>
          </rPr>
          <t xml:space="preserve">
Minimo Litros anuales
tenia 14,400 lo subi a 15,000</t>
        </r>
      </text>
    </comment>
    <comment ref="N61" authorId="0" shapeId="0" xr:uid="{B3F7F072-84F5-4951-9722-019756286419}">
      <text>
        <r>
          <rPr>
            <b/>
            <sz val="9"/>
            <color indexed="81"/>
            <rFont val="Tahoma"/>
            <family val="2"/>
          </rPr>
          <t>Marae:</t>
        </r>
        <r>
          <rPr>
            <sz val="9"/>
            <color indexed="81"/>
            <rFont val="Tahoma"/>
            <family val="2"/>
          </rPr>
          <t xml:space="preserve">
El flete interno nos cuesta aprox con 1/2 termo $14.00/L
y por 3 Guerras recoleccion en Tecoman $17.5/L</t>
        </r>
      </text>
    </comment>
  </commentList>
</comments>
</file>

<file path=xl/sharedStrings.xml><?xml version="1.0" encoding="utf-8"?>
<sst xmlns="http://schemas.openxmlformats.org/spreadsheetml/2006/main" count="6921" uniqueCount="1009">
  <si>
    <t>ID</t>
  </si>
  <si>
    <t>Producto</t>
  </si>
  <si>
    <t>PRODUCTO</t>
  </si>
  <si>
    <t>JADAM</t>
  </si>
  <si>
    <t>Push</t>
  </si>
  <si>
    <t>Agriphos</t>
  </si>
  <si>
    <t>Responsable</t>
  </si>
  <si>
    <t>$/Ha</t>
  </si>
  <si>
    <t>Roberto Padilla</t>
  </si>
  <si>
    <t>Rodolfo Cisneros</t>
  </si>
  <si>
    <t>Enrique Garza</t>
  </si>
  <si>
    <t xml:space="preserve">Densidad </t>
  </si>
  <si>
    <t>Consumo/Ha</t>
  </si>
  <si>
    <t>$/L</t>
  </si>
  <si>
    <t>$/arb</t>
  </si>
  <si>
    <t>Hortiroot</t>
  </si>
  <si>
    <t>Noe Rosales</t>
  </si>
  <si>
    <t>Plant Star</t>
  </si>
  <si>
    <t>Brandt</t>
  </si>
  <si>
    <t>[08-31-04]</t>
  </si>
  <si>
    <t>Marca</t>
  </si>
  <si>
    <t>Conc.</t>
  </si>
  <si>
    <t>Vol. Trabajo</t>
  </si>
  <si>
    <t>Hortitec</t>
  </si>
  <si>
    <t xml:space="preserve">Dosis </t>
  </si>
  <si>
    <r>
      <t>[] P</t>
    </r>
    <r>
      <rPr>
        <b/>
        <vertAlign val="subscript"/>
        <sz val="11"/>
        <color theme="1"/>
        <rFont val="Cambria"/>
        <family val="1"/>
      </rPr>
      <t>2</t>
    </r>
    <r>
      <rPr>
        <b/>
        <sz val="11"/>
        <color theme="1"/>
        <rFont val="Cambria"/>
        <family val="1"/>
      </rPr>
      <t>O</t>
    </r>
    <r>
      <rPr>
        <b/>
        <vertAlign val="subscript"/>
        <sz val="11"/>
        <color theme="1"/>
        <rFont val="Cambria"/>
        <family val="1"/>
      </rPr>
      <t>5</t>
    </r>
  </si>
  <si>
    <t>[] NT</t>
  </si>
  <si>
    <t>[12-9.6-00]</t>
  </si>
  <si>
    <t>[08-24-00]</t>
  </si>
  <si>
    <t>Vol. Producto</t>
  </si>
  <si>
    <t>Hortihumus</t>
  </si>
  <si>
    <t>CMB</t>
  </si>
  <si>
    <t>Organic Nature</t>
  </si>
  <si>
    <t>Agroscience</t>
  </si>
  <si>
    <t>[8.47-24.6-7.78]</t>
  </si>
  <si>
    <t>Humics 95</t>
  </si>
  <si>
    <t>SICAR</t>
  </si>
  <si>
    <t>Dosis/arb. &lt;= 6 mes</t>
  </si>
  <si>
    <t>[3.2-8.3-00]</t>
  </si>
  <si>
    <t>Dosis/arb. &gt; 6 mes</t>
  </si>
  <si>
    <t>Kelproot</t>
  </si>
  <si>
    <t>[0.81-0.124-1.684]</t>
  </si>
  <si>
    <t>Algas Pacific</t>
  </si>
  <si>
    <t>Alberto Sanchez</t>
  </si>
  <si>
    <t>Jorge Samchez</t>
  </si>
  <si>
    <t>ZnKelp</t>
  </si>
  <si>
    <t>Microrg.</t>
  </si>
  <si>
    <t>Alejandro Nuñez</t>
  </si>
  <si>
    <t>DAP</t>
  </si>
  <si>
    <t>[18-46-00]</t>
  </si>
  <si>
    <t>MultiRoot-Fulvi SCR</t>
  </si>
  <si>
    <t>MD-Citri</t>
  </si>
  <si>
    <t># Orden compras</t>
  </si>
  <si>
    <t>CLIENTE</t>
  </si>
  <si>
    <t>SEM.</t>
  </si>
  <si>
    <t>FOLIO</t>
  </si>
  <si>
    <t>MultiRoot</t>
  </si>
  <si>
    <t>FECHA</t>
  </si>
  <si>
    <t>MultiRoot-Fulvi SCR2</t>
  </si>
  <si>
    <t>[1.8-9.15-00]</t>
  </si>
  <si>
    <t xml:space="preserve">DAP </t>
  </si>
  <si>
    <t>MAP</t>
  </si>
  <si>
    <t>OC-CS-0508</t>
  </si>
  <si>
    <t>OC-CS-0516</t>
  </si>
  <si>
    <t>OC-CS-0529</t>
  </si>
  <si>
    <t>OC-CS-0541</t>
  </si>
  <si>
    <t>OC-CS-0559</t>
  </si>
  <si>
    <t>OC-CS-0574</t>
  </si>
  <si>
    <t>OC-CS-0581</t>
  </si>
  <si>
    <t>OC-CS-0596</t>
  </si>
  <si>
    <t>Nitrabor Liq.</t>
  </si>
  <si>
    <t>VENTA</t>
  </si>
  <si>
    <t>OC-CS-0605</t>
  </si>
  <si>
    <t>OC-CS-0619</t>
  </si>
  <si>
    <t>Salida</t>
  </si>
  <si>
    <t>CONCEPTO</t>
  </si>
  <si>
    <t>PROCESO</t>
  </si>
  <si>
    <t>Nitrabor_Liq</t>
  </si>
  <si>
    <t>($) COSTO</t>
  </si>
  <si>
    <t>($) VENTA</t>
  </si>
  <si>
    <t>Depto.</t>
  </si>
  <si>
    <t>Producción</t>
  </si>
  <si>
    <t>OPERACIÓN</t>
  </si>
  <si>
    <t>SALIDA</t>
  </si>
  <si>
    <t>PRODUCCIÓN</t>
  </si>
  <si>
    <t>Composta</t>
  </si>
  <si>
    <t>Vermicomposta</t>
  </si>
  <si>
    <t>Lixiviado</t>
  </si>
  <si>
    <t>Costo M.P./M.O.</t>
  </si>
  <si>
    <t>Venta Ext.</t>
  </si>
  <si>
    <t>Venta Int (L)</t>
  </si>
  <si>
    <t>Biofertilizantes</t>
  </si>
  <si>
    <t>RANCHO</t>
  </si>
  <si>
    <t>Zona_A</t>
  </si>
  <si>
    <t>ID 2</t>
  </si>
  <si>
    <t>Alejandro Núñez</t>
  </si>
  <si>
    <t>Jorge Sánchez</t>
  </si>
  <si>
    <t>Alberto Sánchez</t>
  </si>
  <si>
    <t>Noé Rosales</t>
  </si>
  <si>
    <t>José Corin</t>
  </si>
  <si>
    <t>I</t>
  </si>
  <si>
    <t>Pitahayas</t>
  </si>
  <si>
    <t>Guadalupana Palmar</t>
  </si>
  <si>
    <t>Rancho Nuevo</t>
  </si>
  <si>
    <t>Zona_B</t>
  </si>
  <si>
    <t>Zona_C</t>
  </si>
  <si>
    <t>Zona_D</t>
  </si>
  <si>
    <t>Zona_E</t>
  </si>
  <si>
    <t>Zona_F</t>
  </si>
  <si>
    <t>Zona_G</t>
  </si>
  <si>
    <t>Zona_I</t>
  </si>
  <si>
    <t>Zona_V</t>
  </si>
  <si>
    <t>Almacen</t>
  </si>
  <si>
    <t>Externo</t>
  </si>
  <si>
    <t>Marco Bentancourt</t>
  </si>
  <si>
    <t>COMPOSTA</t>
  </si>
  <si>
    <t>VERMICOMPOSTA</t>
  </si>
  <si>
    <t>LIXIVIADO</t>
  </si>
  <si>
    <t>INICIO</t>
  </si>
  <si>
    <t>Proceso</t>
  </si>
  <si>
    <t xml:space="preserve">M.O y G.F. </t>
  </si>
  <si>
    <t>($/Unidad</t>
  </si>
  <si>
    <t xml:space="preserve">M.P. </t>
  </si>
  <si>
    <t>($/Kg)</t>
  </si>
  <si>
    <t>Vol. Produccion</t>
  </si>
  <si>
    <t>Utilidad</t>
  </si>
  <si>
    <t>DxH</t>
  </si>
  <si>
    <r>
      <t>V [m</t>
    </r>
    <r>
      <rPr>
        <b/>
        <vertAlign val="superscript"/>
        <sz val="11"/>
        <color theme="1"/>
        <rFont val="Calibri"/>
        <family val="2"/>
        <scheme val="minor"/>
      </rPr>
      <t>3</t>
    </r>
    <r>
      <rPr>
        <b/>
        <sz val="11"/>
        <color theme="1"/>
        <rFont val="Calibri"/>
        <family val="2"/>
        <scheme val="minor"/>
      </rPr>
      <t>]</t>
    </r>
  </si>
  <si>
    <t>Cubeta Blanca</t>
  </si>
  <si>
    <t>30 cm x 35 cm</t>
  </si>
  <si>
    <t>1 viaje grande</t>
  </si>
  <si>
    <t>Cubeta Negra</t>
  </si>
  <si>
    <t>29.5 cm x 35.5 cm</t>
  </si>
  <si>
    <t>1 viaje chico</t>
  </si>
  <si>
    <t>CAMA VERMI</t>
  </si>
  <si>
    <t>Base [m]</t>
  </si>
  <si>
    <t>Altura [m]</t>
  </si>
  <si>
    <t>Largo [m]</t>
  </si>
  <si>
    <t>Peso en Cbta [Kg]</t>
  </si>
  <si>
    <t>Densidad</t>
  </si>
  <si>
    <t>Volumen [Ton]</t>
  </si>
  <si>
    <t>No. Viajes grande</t>
  </si>
  <si>
    <t>No. Viajes chico</t>
  </si>
  <si>
    <t>OBSERVACIONES</t>
  </si>
  <si>
    <t>m3</t>
  </si>
  <si>
    <t>CUCHARONES</t>
  </si>
  <si>
    <t>VERMICOMOSTA</t>
  </si>
  <si>
    <t>Carton</t>
  </si>
  <si>
    <t>Estiercol</t>
  </si>
  <si>
    <t>Fruta</t>
  </si>
  <si>
    <t>Gallinaza</t>
  </si>
  <si>
    <t>CORDON</t>
  </si>
  <si>
    <t>1 viaje de fruta</t>
  </si>
  <si>
    <t>4 hrs</t>
  </si>
  <si>
    <t>combustible</t>
  </si>
  <si>
    <t>LOTES ANUALES</t>
  </si>
  <si>
    <t>$/KG</t>
  </si>
  <si>
    <t>CORDONES</t>
  </si>
  <si>
    <t>SILO</t>
  </si>
  <si>
    <t>Gabazo</t>
  </si>
  <si>
    <t>Trips_AV</t>
  </si>
  <si>
    <t>MD_Citri</t>
  </si>
  <si>
    <t>Crisopas</t>
  </si>
  <si>
    <t>Control Biologico</t>
  </si>
  <si>
    <t>Miel</t>
  </si>
  <si>
    <t>Apicultura</t>
  </si>
  <si>
    <t>Jadam</t>
  </si>
  <si>
    <t>OC-CS-0498</t>
  </si>
  <si>
    <t>OC-CS-0499</t>
  </si>
  <si>
    <t>OC-CS-0509</t>
  </si>
  <si>
    <t>OC-CS-0513</t>
  </si>
  <si>
    <t>OC-CS-0519</t>
  </si>
  <si>
    <t>OC-CS-0534</t>
  </si>
  <si>
    <t>OC-CS-0538</t>
  </si>
  <si>
    <t>OC-CON-0224</t>
  </si>
  <si>
    <t>OC-CS-0561</t>
  </si>
  <si>
    <t>OC-CS-0562</t>
  </si>
  <si>
    <t>OC-CS-0575</t>
  </si>
  <si>
    <t>OC-CS-0580</t>
  </si>
  <si>
    <t>OC-CS-0584</t>
  </si>
  <si>
    <t>OC-CS-0595</t>
  </si>
  <si>
    <t>OC-CS-0609</t>
  </si>
  <si>
    <t>OC-CS-0608</t>
  </si>
  <si>
    <t>OC-CS-0615</t>
  </si>
  <si>
    <t>OC-CS-0620</t>
  </si>
  <si>
    <t>Biorepelentes</t>
  </si>
  <si>
    <t>Silo</t>
  </si>
  <si>
    <t>Volumen cono</t>
  </si>
  <si>
    <t>(Pi*r2*h)/3</t>
  </si>
  <si>
    <t>Cubeta</t>
  </si>
  <si>
    <t>Estiercol 3</t>
  </si>
  <si>
    <t>Estiercol 2</t>
  </si>
  <si>
    <t>Volumen</t>
  </si>
  <si>
    <t>((b*h)/2)*L</t>
  </si>
  <si>
    <t>Estiercol 1</t>
  </si>
  <si>
    <t xml:space="preserve">Total </t>
  </si>
  <si>
    <t>Mat. Prima / Prod. Terminado</t>
  </si>
  <si>
    <t>Nombre Materia Prima</t>
  </si>
  <si>
    <t>&lt;&gt;</t>
  </si>
  <si>
    <t>$/Unitario [L/Kg]</t>
  </si>
  <si>
    <t>IMPORTE 
[$]</t>
  </si>
  <si>
    <t>Kg/L/pz</t>
  </si>
  <si>
    <t>[$]</t>
  </si>
  <si>
    <t>M.P. Produccion</t>
  </si>
  <si>
    <t>Agua</t>
  </si>
  <si>
    <t>L</t>
  </si>
  <si>
    <t>Ac. Bórico</t>
  </si>
  <si>
    <t>Kg</t>
  </si>
  <si>
    <t>Ac. Cítrico</t>
  </si>
  <si>
    <t>Azufre Humectable 90%</t>
  </si>
  <si>
    <t>Pz</t>
  </si>
  <si>
    <t>Bionex</t>
  </si>
  <si>
    <t>Diatomeas</t>
  </si>
  <si>
    <t>Fosfato Diamonico [DAP]</t>
  </si>
  <si>
    <t>Fosfato Monoamonico [MAP]</t>
  </si>
  <si>
    <t xml:space="preserve">Fulvi 75% </t>
  </si>
  <si>
    <t>Hidroxido de Sodio 98%</t>
  </si>
  <si>
    <t>Humus Liquido</t>
  </si>
  <si>
    <t>Licor Detecsa</t>
  </si>
  <si>
    <t>Nitrato de Ca</t>
  </si>
  <si>
    <t>Olr. Ajo</t>
  </si>
  <si>
    <t>Olr. Canela</t>
  </si>
  <si>
    <t>Olr. Cebolla</t>
  </si>
  <si>
    <t>Olr. Chile</t>
  </si>
  <si>
    <t>Olr. Clavo</t>
  </si>
  <si>
    <t>Olr. Neem</t>
  </si>
  <si>
    <t>Olr. Pimienta</t>
  </si>
  <si>
    <t>Olr. Tomillo</t>
  </si>
  <si>
    <t>Sal</t>
  </si>
  <si>
    <t>P. Terminado</t>
  </si>
  <si>
    <t>T.C.</t>
  </si>
  <si>
    <t>FORMULA</t>
  </si>
  <si>
    <t>$ UNITARIO</t>
  </si>
  <si>
    <t>$ IMPORTE</t>
  </si>
  <si>
    <t>FORM.</t>
  </si>
  <si>
    <t>Prod. Acumulada</t>
  </si>
  <si>
    <t>Cantidad</t>
  </si>
  <si>
    <t>DESCRIPCION</t>
  </si>
  <si>
    <t>LOTE</t>
  </si>
  <si>
    <t>$ LITRO</t>
  </si>
  <si>
    <t>1L / 500 L</t>
  </si>
  <si>
    <t>JD</t>
  </si>
  <si>
    <t>P</t>
  </si>
  <si>
    <t>1.1.</t>
  </si>
  <si>
    <t>1.2.</t>
  </si>
  <si>
    <t>1.3.</t>
  </si>
  <si>
    <t>1.4.</t>
  </si>
  <si>
    <t>1.5.</t>
  </si>
  <si>
    <t>1.6.</t>
  </si>
  <si>
    <t>Bidon de 20 L</t>
  </si>
  <si>
    <t>V/V</t>
  </si>
  <si>
    <t>1.7.</t>
  </si>
  <si>
    <t>1.8.</t>
  </si>
  <si>
    <t>1.9.</t>
  </si>
  <si>
    <t>MD-C</t>
  </si>
  <si>
    <t>60 L/2000 L</t>
  </si>
  <si>
    <t>Polisacaridos</t>
  </si>
  <si>
    <t>Ac. Carboxilicos</t>
  </si>
  <si>
    <r>
      <t>Fosforo [P</t>
    </r>
    <r>
      <rPr>
        <b/>
        <vertAlign val="subscript"/>
        <sz val="11"/>
        <color theme="1"/>
        <rFont val="Cambria"/>
        <family val="1"/>
        <scheme val="major"/>
      </rPr>
      <t>2</t>
    </r>
    <r>
      <rPr>
        <b/>
        <sz val="11"/>
        <color theme="1"/>
        <rFont val="Cambria"/>
        <family val="1"/>
        <scheme val="major"/>
      </rPr>
      <t>O</t>
    </r>
    <r>
      <rPr>
        <b/>
        <vertAlign val="subscript"/>
        <sz val="11"/>
        <color theme="1"/>
        <rFont val="Cambria"/>
        <family val="1"/>
        <scheme val="major"/>
      </rPr>
      <t>5</t>
    </r>
    <r>
      <rPr>
        <b/>
        <sz val="11"/>
        <color theme="1"/>
        <rFont val="Cambria"/>
        <family val="1"/>
        <scheme val="major"/>
      </rPr>
      <t>]</t>
    </r>
  </si>
  <si>
    <t>Humus Liquido [M.O.]</t>
  </si>
  <si>
    <t>1 L/Arb./apl</t>
  </si>
  <si>
    <t>Ac. Fúlvicos</t>
  </si>
  <si>
    <t>1/2 L/Arb./apl</t>
  </si>
  <si>
    <t>30 ml/L</t>
  </si>
  <si>
    <t>MR-F2</t>
  </si>
  <si>
    <t>Regular pH</t>
  </si>
  <si>
    <t>NB-L</t>
  </si>
  <si>
    <t>Nitrato de Calcio</t>
  </si>
  <si>
    <t>4 ml/L</t>
  </si>
  <si>
    <t xml:space="preserve">Sulfato de Mg </t>
  </si>
  <si>
    <t xml:space="preserve">Glicinato Fe </t>
  </si>
  <si>
    <t>Glicinato Mn</t>
  </si>
  <si>
    <t>Glicinato Zn</t>
  </si>
  <si>
    <t>Ac. Glutamico</t>
  </si>
  <si>
    <t>Break Trhu</t>
  </si>
  <si>
    <t>Yucatan</t>
  </si>
  <si>
    <t>Veracruz</t>
  </si>
  <si>
    <t>Control_Biologico</t>
  </si>
  <si>
    <t>Coliman</t>
  </si>
  <si>
    <t>Uribsin</t>
  </si>
  <si>
    <t>Banamares S.P.R.</t>
  </si>
  <si>
    <t>Agriorg Bananera</t>
  </si>
  <si>
    <t>Laboratorio</t>
  </si>
  <si>
    <t>Siembra</t>
  </si>
  <si>
    <t>Caminero [Mx]</t>
  </si>
  <si>
    <t>Cura [Mx]</t>
  </si>
  <si>
    <t>Horcones 2 y 3 [Mx]</t>
  </si>
  <si>
    <t>Horcones 4 [Mx]</t>
  </si>
  <si>
    <t>Lindero [Mx]</t>
  </si>
  <si>
    <t>Llano 1 A [Mx]</t>
  </si>
  <si>
    <t>Llano 1 B [Mx]</t>
  </si>
  <si>
    <t>Mordullo 2 [Mx]</t>
  </si>
  <si>
    <t>Mordullo 3 [Mx]</t>
  </si>
  <si>
    <t>Mordullo 4 [Mx]</t>
  </si>
  <si>
    <t>Palos De Agua 1 A [Mx]</t>
  </si>
  <si>
    <t>Palos De Agua 1 B [Mx]</t>
  </si>
  <si>
    <t>Palos De Agua 2 [Mx]</t>
  </si>
  <si>
    <t>Palos De Agua 3 y 4 [Mx]</t>
  </si>
  <si>
    <t>Polvorin 1 [Mx]</t>
  </si>
  <si>
    <t>Polvorin 2 [Mx]</t>
  </si>
  <si>
    <t>Leo 1 A [Mx]</t>
  </si>
  <si>
    <t>Leo 1 B [Persa]</t>
  </si>
  <si>
    <t>Leo 2 [Mx]</t>
  </si>
  <si>
    <t>Pampas 1 [Mx]</t>
  </si>
  <si>
    <t>Pampas 2 [Mx]</t>
  </si>
  <si>
    <t>San Carlos [Ita]</t>
  </si>
  <si>
    <t>San Francisco [Persa]</t>
  </si>
  <si>
    <t>San Jorge [Persa]</t>
  </si>
  <si>
    <t>San Judas [Mx]</t>
  </si>
  <si>
    <t>Guadalupana 2 A [Mx]</t>
  </si>
  <si>
    <t>Guadalupana 2 B [Mx]</t>
  </si>
  <si>
    <t>Guadalupana 2 C [Persa]</t>
  </si>
  <si>
    <t>Guadalupana 3 A [Mx]</t>
  </si>
  <si>
    <t>Guadalupana 3 B [Mx]</t>
  </si>
  <si>
    <t>Kairo A [Mx]</t>
  </si>
  <si>
    <t>Kairo B [Mx]</t>
  </si>
  <si>
    <t>Mocambo A [Persa]</t>
  </si>
  <si>
    <t>Mocambo B [Mx]</t>
  </si>
  <si>
    <t>Marquez [Persa]</t>
  </si>
  <si>
    <t>Planta B A [Mx]</t>
  </si>
  <si>
    <t>Planta B B [Mx]</t>
  </si>
  <si>
    <t>San Lorenzo A [Persa]</t>
  </si>
  <si>
    <t>San Lorenzo B [Mx]</t>
  </si>
  <si>
    <t>Tarecua [Persa]</t>
  </si>
  <si>
    <t>Villa Chica A [Mx]</t>
  </si>
  <si>
    <t>Villa Chica B [Mx]</t>
  </si>
  <si>
    <t>Dos Rositas A [Persa]</t>
  </si>
  <si>
    <t>Dos Rositas B [Mx]</t>
  </si>
  <si>
    <t>Juan Pedro A [Mx]</t>
  </si>
  <si>
    <t>Juan Pedro B [Mx]</t>
  </si>
  <si>
    <t>Las Piedras 1 [Mx]</t>
  </si>
  <si>
    <t>Las Piedras 2 [Mx]</t>
  </si>
  <si>
    <t>Las Piedras 3 [Mx]</t>
  </si>
  <si>
    <t>Las Piedras 4 [Mx]</t>
  </si>
  <si>
    <t>San Miguel Ojo de Agua 1 [Persa]</t>
  </si>
  <si>
    <t>San Miguel Ojo de Agua 2 [Persa]</t>
  </si>
  <si>
    <t>San Miguel Ojo de Agua 3 [Persa]</t>
  </si>
  <si>
    <t>San Miguel Ojo de Agua 4 [Persa]</t>
  </si>
  <si>
    <t>Coquimatlan A [Persa]</t>
  </si>
  <si>
    <t>Coquimatlan B [Persa]</t>
  </si>
  <si>
    <t>Coquimatlan C [Mx]</t>
  </si>
  <si>
    <t>Santa Amalia A [Persa]</t>
  </si>
  <si>
    <t>Santa Amalia B [Persa]</t>
  </si>
  <si>
    <t>Santa Amalia C [Mx]</t>
  </si>
  <si>
    <t>Tepames 1 A [Ita]</t>
  </si>
  <si>
    <t>Tepames 1 B [Ita]</t>
  </si>
  <si>
    <t>Tepames 2 A [Persa]</t>
  </si>
  <si>
    <t>Tepames 2 B [Persa]</t>
  </si>
  <si>
    <t>Verano 2 [Persa]</t>
  </si>
  <si>
    <t>Jarocho [Mx]</t>
  </si>
  <si>
    <t>Naranjo [Mx]</t>
  </si>
  <si>
    <t>Pandelo [Mx]</t>
  </si>
  <si>
    <t>San Pedro 1 [Mx]</t>
  </si>
  <si>
    <t>San Pedro 2 [Mx]</t>
  </si>
  <si>
    <t>San Pedro 3 [Mx]</t>
  </si>
  <si>
    <t>Prodigio 3 y 4 [Mx]</t>
  </si>
  <si>
    <t>Prodigio 1,5,6,7 [Mx]</t>
  </si>
  <si>
    <t>Prodigio 2 + E2 [Mx]</t>
  </si>
  <si>
    <t>Apatzingan 1 A [Mx]</t>
  </si>
  <si>
    <t>Apatzingan 1 B [Mx]</t>
  </si>
  <si>
    <t>Apatzingan 2 [Mx]</t>
  </si>
  <si>
    <t>Luis Naranjo</t>
  </si>
  <si>
    <t>2.5 L/Ha/500</t>
  </si>
  <si>
    <t>2.0 L/Ha/500</t>
  </si>
  <si>
    <t>Adh</t>
  </si>
  <si>
    <t>BIOFERTILIZANTES</t>
  </si>
  <si>
    <t>BIOREPELENTES</t>
  </si>
  <si>
    <t>APICULTURA</t>
  </si>
  <si>
    <t>Costos de producción de CRYSPOPAS</t>
  </si>
  <si>
    <t>Enero</t>
  </si>
  <si>
    <t>Febrero</t>
  </si>
  <si>
    <t xml:space="preserve">Marzo  </t>
  </si>
  <si>
    <t>Abril</t>
  </si>
  <si>
    <t>Mayo</t>
  </si>
  <si>
    <t>Junio</t>
  </si>
  <si>
    <t>Julio</t>
  </si>
  <si>
    <t>Agosto</t>
  </si>
  <si>
    <t>Septiembre</t>
  </si>
  <si>
    <t>Octubre</t>
  </si>
  <si>
    <t>Noviembre</t>
  </si>
  <si>
    <t>Diciembre</t>
  </si>
  <si>
    <t>Costos de producción de APICULTURA</t>
  </si>
  <si>
    <t>COSTOS TOTALES</t>
  </si>
  <si>
    <t xml:space="preserve">Otros gastos </t>
  </si>
  <si>
    <t>2%/IMSS</t>
  </si>
  <si>
    <t>Administracion (Sueldos)</t>
  </si>
  <si>
    <t xml:space="preserve">Gerente de operaciones </t>
  </si>
  <si>
    <t>TOTAL</t>
  </si>
  <si>
    <t>GASTOS ADMINISTRATIVOS</t>
  </si>
  <si>
    <t>Huevesillo sitotroga</t>
  </si>
  <si>
    <t>Abeja Reina</t>
  </si>
  <si>
    <t>Otros gastos</t>
  </si>
  <si>
    <t>Salvado de trigo</t>
  </si>
  <si>
    <t>Azucar, Promotor, Polen Sustituto</t>
  </si>
  <si>
    <t>Luz</t>
  </si>
  <si>
    <t>Combustible</t>
  </si>
  <si>
    <t>Mant maq y eqpo</t>
  </si>
  <si>
    <t xml:space="preserve">COSTOS DE PRODUCCION </t>
  </si>
  <si>
    <t>Unidades produccidas</t>
  </si>
  <si>
    <t xml:space="preserve">Costos unitarios de producción </t>
  </si>
  <si>
    <t>Importe</t>
  </si>
  <si>
    <t>Mat. de Prueba</t>
  </si>
  <si>
    <t>Costos de producción de BIOREPELENTES</t>
  </si>
  <si>
    <t>Materiales</t>
  </si>
  <si>
    <t>Costos de producción de BIOFERTILIZANTES</t>
  </si>
  <si>
    <t>Azufre</t>
  </si>
  <si>
    <t>Magnesio</t>
  </si>
  <si>
    <t>Hierro</t>
  </si>
  <si>
    <t>Manganeso</t>
  </si>
  <si>
    <t>Zinc</t>
  </si>
  <si>
    <t>Glutamico</t>
  </si>
  <si>
    <t>Foliar</t>
  </si>
  <si>
    <t xml:space="preserve">% </t>
  </si>
  <si>
    <t>jun</t>
  </si>
  <si>
    <t>sep</t>
  </si>
  <si>
    <t>nov</t>
  </si>
  <si>
    <t>Gastos Administrativos</t>
  </si>
  <si>
    <t>Costos de Producción</t>
  </si>
  <si>
    <t>Gastos de Ventas</t>
  </si>
  <si>
    <t>$/Venta Externa</t>
  </si>
  <si>
    <t>$/Venta Interna</t>
  </si>
  <si>
    <t>f10592,f10593,f10594,f10595</t>
  </si>
  <si>
    <t>f11967,f11968,f11992,f11993,f11994,f11995</t>
  </si>
  <si>
    <t>f10568,f10569, f10570, f10571, f10572,f10573</t>
  </si>
  <si>
    <t>F10559,F10574</t>
  </si>
  <si>
    <t>F10589</t>
  </si>
  <si>
    <t>Vivero</t>
  </si>
  <si>
    <t>RESP. ÁREA</t>
  </si>
  <si>
    <t>OC-CS-0643</t>
  </si>
  <si>
    <t>OC-CS-0667</t>
  </si>
  <si>
    <t>OC-CS-0669</t>
  </si>
  <si>
    <t>OC-CS-0683</t>
  </si>
  <si>
    <t>OC-CS-0705</t>
  </si>
  <si>
    <t>OC-CS-0709</t>
  </si>
  <si>
    <t>DEPTO.</t>
  </si>
  <si>
    <t>$/COSTO</t>
  </si>
  <si>
    <t>$/VENTA</t>
  </si>
  <si>
    <t>OC-CS-0680</t>
  </si>
  <si>
    <t>OC-CS-0685</t>
  </si>
  <si>
    <t>F-11996</t>
  </si>
  <si>
    <t>MultiRoot_P</t>
  </si>
  <si>
    <t>Esteban Gtz</t>
  </si>
  <si>
    <t>Yucatán</t>
  </si>
  <si>
    <t>CitroFol-D</t>
  </si>
  <si>
    <t>OC-CS-0722</t>
  </si>
  <si>
    <t>PRUEBAS</t>
  </si>
  <si>
    <t xml:space="preserve">Bidon de 20 L </t>
  </si>
  <si>
    <t>OC-CS-0712</t>
  </si>
  <si>
    <t>F11983,F11984</t>
  </si>
  <si>
    <t>F-15657</t>
  </si>
  <si>
    <t>F-8839</t>
  </si>
  <si>
    <t>OC-CS-0729</t>
  </si>
  <si>
    <t>OC-CS-0724</t>
  </si>
  <si>
    <t>OC-CS-0727</t>
  </si>
  <si>
    <t>F-15659</t>
  </si>
  <si>
    <t>F-15660</t>
  </si>
  <si>
    <t>F-15661</t>
  </si>
  <si>
    <t>F-15662</t>
  </si>
  <si>
    <t>F-15664</t>
  </si>
  <si>
    <t>F-15665</t>
  </si>
  <si>
    <t>F-15666</t>
  </si>
  <si>
    <t>CitroFol_D</t>
  </si>
  <si>
    <t>COSTOS UNITARIOS TOTALES</t>
  </si>
  <si>
    <t>Venta Anual Externa [$]</t>
  </si>
  <si>
    <t>Venta Anual Interna [$]</t>
  </si>
  <si>
    <t>Venta Anual [$]</t>
  </si>
  <si>
    <t>Venta Anual Externa [ml]</t>
  </si>
  <si>
    <t>Venta Anual Interna [ml]</t>
  </si>
  <si>
    <t>Venta Anual [ml]</t>
  </si>
  <si>
    <t>$/Venta Externa [L]</t>
  </si>
  <si>
    <t>$/Venta Interna [L]</t>
  </si>
  <si>
    <t xml:space="preserve">   UTILIDAD (PÉRDIDA) BRUTA</t>
  </si>
  <si>
    <t>UTILIDAD (PÉRDIDA) NETA</t>
  </si>
  <si>
    <t>Venta Anual Externa [L]</t>
  </si>
  <si>
    <t>Venta Anual [L]</t>
  </si>
  <si>
    <t>Cortesias Anual [L]</t>
  </si>
  <si>
    <t>Venta Anual Cortesia [$]</t>
  </si>
  <si>
    <t>Venta Anual Interna [L]</t>
  </si>
  <si>
    <t>M.P,</t>
  </si>
  <si>
    <t>F-15669, F-15670, F-15671, F-15673</t>
  </si>
  <si>
    <t>F-15674</t>
  </si>
  <si>
    <t>Operación (Sueldos)</t>
  </si>
  <si>
    <t>AGROECOLOGIA</t>
  </si>
  <si>
    <t>Venta Anual Externa [unidades]</t>
  </si>
  <si>
    <t>Venta Anual Interna [unidades]</t>
  </si>
  <si>
    <t>Venta Anual [unidades]</t>
  </si>
  <si>
    <t>f15673, f15674</t>
  </si>
  <si>
    <t>F-15675</t>
  </si>
  <si>
    <t>F-15676</t>
  </si>
  <si>
    <t>OC-CS-0776</t>
  </si>
  <si>
    <t>BR-647, BR-648</t>
  </si>
  <si>
    <t>OC-CS-0748</t>
  </si>
  <si>
    <t>OC-CS-0751</t>
  </si>
  <si>
    <t>f15685</t>
  </si>
  <si>
    <t>f15686, f15678</t>
  </si>
  <si>
    <t>Dosis Contacto</t>
  </si>
  <si>
    <t>$</t>
  </si>
  <si>
    <t>Vol apl/Ha</t>
  </si>
  <si>
    <t>Ha cubiertas</t>
  </si>
  <si>
    <t>Crop Mix</t>
  </si>
  <si>
    <t>CRISOPAS URIBSIN</t>
  </si>
  <si>
    <t>CRISOPAS SICARFARM</t>
  </si>
  <si>
    <t>NITRABOR LIQ.</t>
  </si>
  <si>
    <t xml:space="preserve">COMPOSTA SICARFARM </t>
  </si>
  <si>
    <t xml:space="preserve">VERMICOMPOSTA SICARFARM </t>
  </si>
  <si>
    <t>F-15689</t>
  </si>
  <si>
    <t>F-15690</t>
  </si>
  <si>
    <t>D-Limoneno</t>
  </si>
  <si>
    <t>TER-CAN</t>
  </si>
  <si>
    <t>F-15696</t>
  </si>
  <si>
    <t>F-15697</t>
  </si>
  <si>
    <t>P/V</t>
  </si>
  <si>
    <t xml:space="preserve">Sergio Galván </t>
  </si>
  <si>
    <t>SiCar Farms</t>
  </si>
  <si>
    <t>Compo Expert</t>
  </si>
  <si>
    <t>Horti humus</t>
  </si>
  <si>
    <t>CBM</t>
  </si>
  <si>
    <t>Basfoliar Kelp</t>
  </si>
  <si>
    <t>Cont.</t>
  </si>
  <si>
    <t>Fulv 75</t>
  </si>
  <si>
    <t xml:space="preserve">Humus liq. </t>
  </si>
  <si>
    <t>Mineral</t>
  </si>
  <si>
    <t>Hum/Fulv</t>
  </si>
  <si>
    <t>M.O.</t>
  </si>
  <si>
    <t>Algas/A.A.</t>
  </si>
  <si>
    <t>Fulv</t>
  </si>
  <si>
    <t>[12-12]</t>
  </si>
  <si>
    <t xml:space="preserve">Conc. </t>
  </si>
  <si>
    <t>[12-61-00]</t>
  </si>
  <si>
    <t>[45]</t>
  </si>
  <si>
    <t>[0.29-00-0.22]</t>
  </si>
  <si>
    <t>Dosis</t>
  </si>
  <si>
    <t>$/L (mezcla)</t>
  </si>
  <si>
    <t>Dosis - $</t>
  </si>
  <si>
    <t>-</t>
  </si>
  <si>
    <t>N</t>
  </si>
  <si>
    <t>[] P2O5</t>
  </si>
  <si>
    <t>[] K</t>
  </si>
  <si>
    <t>K</t>
  </si>
  <si>
    <t>Fulv.</t>
  </si>
  <si>
    <t>Humic.</t>
  </si>
  <si>
    <t>N en 200 L</t>
  </si>
  <si>
    <t>P en 200 L</t>
  </si>
  <si>
    <t>K en 200 L</t>
  </si>
  <si>
    <t>Fulv. En 200 L</t>
  </si>
  <si>
    <t>Humic. En 200 L</t>
  </si>
  <si>
    <t>N en 1 L</t>
  </si>
  <si>
    <t>P en 1 L</t>
  </si>
  <si>
    <t>K en 1 L</t>
  </si>
  <si>
    <t>Fulv. En 1 L</t>
  </si>
  <si>
    <t>Humic. En 1 L</t>
  </si>
  <si>
    <t>en 30 ml</t>
  </si>
  <si>
    <t>en 7.5 ml</t>
  </si>
  <si>
    <t>Ter_Can</t>
  </si>
  <si>
    <t>F-16903</t>
  </si>
  <si>
    <t>F-15712</t>
  </si>
  <si>
    <t>F-15711</t>
  </si>
  <si>
    <t>F-16905, F-16906</t>
  </si>
  <si>
    <t>F-17059</t>
  </si>
  <si>
    <t>BR-668,670,671</t>
  </si>
  <si>
    <t>F-16907,F-16909,F-16910</t>
  </si>
  <si>
    <t>F-16912, F-16913, F-16915</t>
  </si>
  <si>
    <t>F11816, F-11817</t>
  </si>
  <si>
    <t>F-16918</t>
  </si>
  <si>
    <t>15 ml/arbol</t>
  </si>
  <si>
    <t>30 ml/arbol</t>
  </si>
  <si>
    <t>Roca Fosforica (Zeolitech)</t>
  </si>
  <si>
    <t>% P/V</t>
  </si>
  <si>
    <t>CON DILUYENTES</t>
  </si>
  <si>
    <t>IMPORTE</t>
  </si>
  <si>
    <t>CT-Citri</t>
  </si>
  <si>
    <t>MD-Citri OMRI</t>
  </si>
  <si>
    <t>Breack Thru</t>
  </si>
  <si>
    <t>CT-CITRI OMRI</t>
  </si>
  <si>
    <t>TIL</t>
  </si>
  <si>
    <t xml:space="preserve">Milagro Keylamax Fe </t>
  </si>
  <si>
    <t>Milagro Keylamax Zn</t>
  </si>
  <si>
    <t>Metalosate Mn</t>
  </si>
  <si>
    <t>Nitroperfecto</t>
  </si>
  <si>
    <t>F-16922</t>
  </si>
  <si>
    <t>F15679,F15680,F15681,F15682,F15683,F15684</t>
  </si>
  <si>
    <t>F-16926,F-16927,F-16929</t>
  </si>
  <si>
    <t>F-16932</t>
  </si>
  <si>
    <t>F-16938,F-16933,F-16934,F-16936</t>
  </si>
  <si>
    <t>F-16939</t>
  </si>
  <si>
    <t>F-15723, F-16920, F16921,</t>
  </si>
  <si>
    <t>F-16930</t>
  </si>
  <si>
    <t>F-16930, F-16931</t>
  </si>
  <si>
    <t>F11986, F11987</t>
  </si>
  <si>
    <t>F8829, F8830, F8836, F8837</t>
  </si>
  <si>
    <t>F15672</t>
  </si>
  <si>
    <t>F15677</t>
  </si>
  <si>
    <t>F15688</t>
  </si>
  <si>
    <t>F15695</t>
  </si>
  <si>
    <t>F16914</t>
  </si>
  <si>
    <t>F16923</t>
  </si>
  <si>
    <t>F16930</t>
  </si>
  <si>
    <t>F16937</t>
  </si>
  <si>
    <t>F-16941, F-16942, F-16944</t>
  </si>
  <si>
    <t>F-16943</t>
  </si>
  <si>
    <t>BR-688</t>
  </si>
  <si>
    <t>BR-690</t>
  </si>
  <si>
    <t>F-16948</t>
  </si>
  <si>
    <t>F-16945</t>
  </si>
  <si>
    <t>F-16947</t>
  </si>
  <si>
    <t>F-16949</t>
  </si>
  <si>
    <t>TerCan</t>
  </si>
  <si>
    <t>OBSERV. ENE-2024</t>
  </si>
  <si>
    <t>EXISTENCIA FISICA
 [31-ENE-24]</t>
  </si>
  <si>
    <t>EXISTENCIA [ENE-24]</t>
  </si>
  <si>
    <t>SALIDA [Prod. ENE]</t>
  </si>
  <si>
    <t>ENTRADA [ENE-24]</t>
  </si>
  <si>
    <t>EXISTENCIA FISICA
 [31 DIC 23]</t>
  </si>
  <si>
    <t>ρ</t>
  </si>
  <si>
    <t>Ud.</t>
  </si>
  <si>
    <t>OC-CS-0740</t>
  </si>
  <si>
    <t>OC-CS-0867</t>
  </si>
  <si>
    <t>Validaciones</t>
  </si>
  <si>
    <t>OC-CS-0792</t>
  </si>
  <si>
    <t>OC-CS-0816</t>
  </si>
  <si>
    <t>OC-CS-0835</t>
  </si>
  <si>
    <t>OC-CS-0846</t>
  </si>
  <si>
    <t>OC-CS-0865</t>
  </si>
  <si>
    <t>OC-CS-0770</t>
  </si>
  <si>
    <t>OC-CS-0793</t>
  </si>
  <si>
    <t>OC-CS-0800</t>
  </si>
  <si>
    <t>OC-CS-0803</t>
  </si>
  <si>
    <t>OC-CS-0811</t>
  </si>
  <si>
    <t>OC-CS-0812;0815;0817</t>
  </si>
  <si>
    <t>OC-CS-0836</t>
  </si>
  <si>
    <t>OC-CS-0845</t>
  </si>
  <si>
    <t>OC-CS-0866</t>
  </si>
  <si>
    <t>OC-CS-0804</t>
  </si>
  <si>
    <t>OC-CS-0837</t>
  </si>
  <si>
    <t>Garrafa rota</t>
  </si>
  <si>
    <t>OC-CS-0860</t>
  </si>
  <si>
    <t>OC-CS-0880</t>
  </si>
  <si>
    <t>CT-CITRI</t>
  </si>
  <si>
    <t>Blaukorn</t>
  </si>
  <si>
    <t>CT-C</t>
  </si>
  <si>
    <t>M.P. Standby</t>
  </si>
  <si>
    <t>CITROFOL-D</t>
  </si>
  <si>
    <t>CITROFOL-D OMRI</t>
  </si>
  <si>
    <t>MULTIROOT-FULVI SCR2</t>
  </si>
  <si>
    <t>MULTIROOT-FULVI SCR2 OMRI</t>
  </si>
  <si>
    <t>ARÁCNIMAX [SP]</t>
  </si>
  <si>
    <t>FAGROMIX-H [FP]</t>
  </si>
  <si>
    <t>TERPGRASS</t>
  </si>
  <si>
    <t>Total general</t>
  </si>
  <si>
    <t>2023</t>
  </si>
  <si>
    <t>ene</t>
  </si>
  <si>
    <t>Etiquetas de columna</t>
  </si>
  <si>
    <t>CT_Citri</t>
  </si>
  <si>
    <r>
      <rPr>
        <b/>
        <sz val="14"/>
        <color theme="1"/>
        <rFont val="Calibri"/>
        <family val="2"/>
        <scheme val="minor"/>
      </rPr>
      <t>Nota 1:</t>
    </r>
    <r>
      <rPr>
        <sz val="14"/>
        <color theme="1"/>
        <rFont val="Calibri"/>
        <family val="2"/>
        <scheme val="minor"/>
      </rPr>
      <t xml:space="preserve"> Números Negativos significan Salidas</t>
    </r>
  </si>
  <si>
    <r>
      <rPr>
        <b/>
        <sz val="14"/>
        <color theme="1"/>
        <rFont val="Calibri"/>
        <family val="2"/>
        <scheme val="minor"/>
      </rPr>
      <t>Nota 2:</t>
    </r>
    <r>
      <rPr>
        <sz val="14"/>
        <color theme="1"/>
        <rFont val="Calibri"/>
        <family val="2"/>
        <scheme val="minor"/>
      </rPr>
      <t xml:space="preserve"> Se esta informando la disponibilidad de los materiales</t>
    </r>
  </si>
  <si>
    <t>INVENTARIO AGROECOLOGÍA [L o Kg]</t>
  </si>
  <si>
    <t>AL</t>
  </si>
  <si>
    <t xml:space="preserve"> Stock</t>
  </si>
  <si>
    <t xml:space="preserve"> </t>
  </si>
  <si>
    <t>TD1</t>
  </si>
  <si>
    <t xml:space="preserve"> PRODUCCIÓN</t>
  </si>
  <si>
    <t xml:space="preserve"> SALIDA</t>
  </si>
  <si>
    <t>TD2</t>
  </si>
  <si>
    <t>CONTROL BIOLOGICO</t>
  </si>
  <si>
    <t>P/I</t>
  </si>
  <si>
    <t>%</t>
  </si>
  <si>
    <t>INSUMO</t>
  </si>
  <si>
    <t>Vol. Base</t>
  </si>
  <si>
    <t>$/L Kg Pz</t>
  </si>
  <si>
    <t>VOLUMEN / IMPORTE ANUAL</t>
  </si>
  <si>
    <t>ENE</t>
  </si>
  <si>
    <t>FEB</t>
  </si>
  <si>
    <t>MAR</t>
  </si>
  <si>
    <t>ABR</t>
  </si>
  <si>
    <t>MAY</t>
  </si>
  <si>
    <t>JUN</t>
  </si>
  <si>
    <t>JUL</t>
  </si>
  <si>
    <t>AGO</t>
  </si>
  <si>
    <t>SEP</t>
  </si>
  <si>
    <t>OCT</t>
  </si>
  <si>
    <t>NOV</t>
  </si>
  <si>
    <t>DIC</t>
  </si>
  <si>
    <t>VOL.</t>
  </si>
  <si>
    <t>Bidon [20 L]</t>
  </si>
  <si>
    <t>MULTROOT-FULVI</t>
  </si>
  <si>
    <t>Fosfato Monoamo [MAP]</t>
  </si>
  <si>
    <t>Bidon Gore [20 L]</t>
  </si>
  <si>
    <t>DISTRIBUCION</t>
  </si>
  <si>
    <t>$/L o Kg</t>
  </si>
  <si>
    <t>Etiqueta</t>
  </si>
  <si>
    <t>OMRI</t>
  </si>
  <si>
    <t>MULTIROOT-FULVI</t>
  </si>
  <si>
    <t>Bidon de 20 L gore</t>
  </si>
  <si>
    <t>Mejorador de suelo y enraizador. Induce la bioestimulación radicular y la actividad microbiana del suelo. Favorece a la proliferación de microorganismos benéficos en el suelo, aumenta la fertilidad del suelo y la colonización de microorganismos simbióticos, favorece la biodisponibilidad de nutrientes en el suelo y aumenta la porosidad del suelo</t>
  </si>
  <si>
    <t>Nutriente foliar ultra-asimilable de composición multimineral para alta absorción que previene y corrige deficiencias. Su contenido de aminominerales dinamiza el aprovechamiento y buen balance nutricional para un óptimo desarrollo, crecimiento y productividad de los cultivos: Mejora el funcionamiento fisiológico de la planta y la capacidad de responder ante condiciones climáticas o enfermedades, corrige deficiencias de Zn, Mg, Fe y Mn, optimizando la fotosíntesis y reduce el gasto energético de la planta en el proceso de transporte celular y acelera la recuperación del crecimiento.</t>
  </si>
  <si>
    <t>Insecticida y repelente botánico a base de aceites esenciales, el cual posee un poder de acción residual que permite la protección del cultivo, se utiliza principalmente para el control de insectos: Minador (Phyllocnistis citrella) y Psílido asiático (Diaphorina citri). Posee un amplio espectro de acción contra insectos plaga y enfermedades fúngicas.</t>
  </si>
  <si>
    <t>insecticida y repelente botánico a base de aceites esenciales, el cual posee un poder de acción residual que permite la protección del cultivo, se utiliza principalmente para el control de insectos: Minador (Phyllocnistis citrella), Psílido asiático (Diaphorina citri), Araña Roja (Tetranychus urticae) y Trips. Posee un amplio espectro de acción contra insectos plaga y enfermedades fúngicas.</t>
  </si>
  <si>
    <t>$/L interno [Garrafa]</t>
  </si>
  <si>
    <r>
      <rPr>
        <b/>
        <sz val="11"/>
        <color theme="1"/>
        <rFont val="Calibri"/>
        <family val="2"/>
        <scheme val="minor"/>
      </rPr>
      <t>$/L</t>
    </r>
    <r>
      <rPr>
        <sz val="11"/>
        <color theme="1"/>
        <rFont val="Calibri"/>
        <family val="2"/>
        <scheme val="minor"/>
      </rPr>
      <t xml:space="preserve"> Externo Actual [Garrafa]</t>
    </r>
  </si>
  <si>
    <r>
      <rPr>
        <b/>
        <sz val="11"/>
        <color theme="1"/>
        <rFont val="Calibri"/>
        <family val="2"/>
        <scheme val="minor"/>
      </rPr>
      <t>$/L</t>
    </r>
    <r>
      <rPr>
        <sz val="11"/>
        <color theme="1"/>
        <rFont val="Calibri"/>
        <family val="2"/>
        <scheme val="minor"/>
      </rPr>
      <t xml:space="preserve"> Externo Sugerido [Garrafa]</t>
    </r>
  </si>
  <si>
    <r>
      <rPr>
        <b/>
        <sz val="11"/>
        <color theme="1"/>
        <rFont val="Calibri"/>
        <family val="2"/>
        <scheme val="minor"/>
      </rPr>
      <t>$/Ha</t>
    </r>
    <r>
      <rPr>
        <sz val="11"/>
        <color theme="1"/>
        <rFont val="Calibri"/>
        <family val="2"/>
        <scheme val="minor"/>
      </rPr>
      <t xml:space="preserve"> base 357 arb adulto</t>
    </r>
  </si>
  <si>
    <t>$/L Insumos, M.O., Gastos Fijos, Gastos Admon</t>
  </si>
  <si>
    <t>Margen</t>
  </si>
  <si>
    <t>Margen, englobando OMRI y Utilidad</t>
  </si>
  <si>
    <t>ok</t>
  </si>
  <si>
    <t>feb</t>
  </si>
  <si>
    <t>mar</t>
  </si>
  <si>
    <t>abr</t>
  </si>
  <si>
    <t>may</t>
  </si>
  <si>
    <t>jul</t>
  </si>
  <si>
    <t>ago</t>
  </si>
  <si>
    <t>oct</t>
  </si>
  <si>
    <t>dic</t>
  </si>
  <si>
    <t>Etiquetas de fila</t>
  </si>
  <si>
    <t>_PRODUCCIÓN</t>
  </si>
  <si>
    <t>TD3</t>
  </si>
  <si>
    <t xml:space="preserve"> UTILIDAD BRUTA [$]</t>
  </si>
  <si>
    <t>COMBUSTIBLE</t>
  </si>
  <si>
    <t>MANO DE OBRA GENERALIZADA</t>
  </si>
  <si>
    <t>CUOTA IMSS</t>
  </si>
  <si>
    <t>SUELDOS</t>
  </si>
  <si>
    <t>OTROS GASTOS</t>
  </si>
  <si>
    <t>ABEJAS REINA</t>
  </si>
  <si>
    <t>ALIMENTACION</t>
  </si>
  <si>
    <t>CONSUMIBLES MAQUINARIA</t>
  </si>
  <si>
    <t>MANT. Y SERV.EQU.TRANSPORTE</t>
  </si>
  <si>
    <t>MATERIALES Y HERRAMIENTAS</t>
  </si>
  <si>
    <t>SISTEMAS DE RIEGO</t>
  </si>
  <si>
    <t>INVERSION/ACTIVO</t>
  </si>
  <si>
    <t>AREA</t>
  </si>
  <si>
    <t>API</t>
  </si>
  <si>
    <t>PRODUCCIÓN [UNIDADES]</t>
  </si>
  <si>
    <t>VENTA [UNIDADES]</t>
  </si>
  <si>
    <t>VENTA EXTERNA [$]</t>
  </si>
  <si>
    <t>CORTESIA [UNIDADES]</t>
  </si>
  <si>
    <t>$/VENTA EXTERNA [L]</t>
  </si>
  <si>
    <t>VENTA [$]</t>
  </si>
  <si>
    <t>VENTA INTERNA [$]</t>
  </si>
  <si>
    <t>COSTO PRODUCCIÓN [$]</t>
  </si>
  <si>
    <t>EBITDA [$]</t>
  </si>
  <si>
    <t>GASTO ADMINISTRACION [$]</t>
  </si>
  <si>
    <t>GASTO VENTAS [$]</t>
  </si>
  <si>
    <t>COSTO TOTAL [$]</t>
  </si>
  <si>
    <t>ACUMULADO</t>
  </si>
  <si>
    <t>PRODUCCIÓN MIEL [UNIDADES]</t>
  </si>
  <si>
    <t>POLINIZACION COLMENAS [UNIDADES]</t>
  </si>
  <si>
    <t>VENTA POLINIZACION [$]</t>
  </si>
  <si>
    <t>$/VENTA INTERNA [L]</t>
  </si>
  <si>
    <t>$/VENTA POLINIZACION [Pz]</t>
  </si>
  <si>
    <t>VENTA EXTERNA [UNIDADES]</t>
  </si>
  <si>
    <t>COLMENAS [UNIDADES]</t>
  </si>
  <si>
    <t>VENTA INTERNA [UNIDADES]</t>
  </si>
  <si>
    <t xml:space="preserve">GERENTE </t>
  </si>
  <si>
    <t>COSTO UNITARIO MIEL [$/L]</t>
  </si>
  <si>
    <t>COSTO UNITARIO PRODUCCIÓN MIEL [$/L]</t>
  </si>
  <si>
    <t>PRODUCCIÓN CRISOPAS [UNIDADES]</t>
  </si>
  <si>
    <t>ALIMENTO</t>
  </si>
  <si>
    <t>HUEVESILLO SITOTROGA</t>
  </si>
  <si>
    <t>COSTO UNITARIO CRISOPAS [$/L]</t>
  </si>
  <si>
    <t>BIOREP</t>
  </si>
  <si>
    <t>MD-CITRI [UNIDADES]</t>
  </si>
  <si>
    <t>CT-CITRI [UNIDADES]</t>
  </si>
  <si>
    <t>CITROFOL-D [UNIDADES]</t>
  </si>
  <si>
    <t>JADAM [UNIDADES]</t>
  </si>
  <si>
    <t>SAL</t>
  </si>
  <si>
    <t>Mezcla Oro [18-04-19]</t>
  </si>
  <si>
    <t>CONBI</t>
  </si>
  <si>
    <t>INSUMOS</t>
  </si>
  <si>
    <t>MD-CITRI VENTA EXTERNA [$]</t>
  </si>
  <si>
    <t>MD-CITRI VENTA INTERNA [$]</t>
  </si>
  <si>
    <t>CT-CITRI VENTA EXTERNA [$]</t>
  </si>
  <si>
    <t>CT-CITRI VENTA INTERNA [$]</t>
  </si>
  <si>
    <t>CITROFOL-D VENTA EXTERNA [$]</t>
  </si>
  <si>
    <t>CITROFOL-D VENTA INTERNA [$]</t>
  </si>
  <si>
    <t>JADAM VENTA EXTERNA [$]</t>
  </si>
  <si>
    <t>JADAM VENTA INTERNA [$]</t>
  </si>
  <si>
    <t>MD-CITRI VENTA EXT [UNIDADES]</t>
  </si>
  <si>
    <r>
      <t xml:space="preserve">MD-CITRI VENTA </t>
    </r>
    <r>
      <rPr>
        <sz val="11"/>
        <color rgb="FFC00000"/>
        <rFont val="Calibri"/>
        <family val="2"/>
        <scheme val="minor"/>
      </rPr>
      <t>INT</t>
    </r>
    <r>
      <rPr>
        <sz val="11"/>
        <color theme="1"/>
        <rFont val="Calibri"/>
        <family val="2"/>
        <scheme val="minor"/>
      </rPr>
      <t xml:space="preserve"> [UNIDADES]</t>
    </r>
  </si>
  <si>
    <t>CT-CITRI VENTA EXT [UNIDADES]</t>
  </si>
  <si>
    <r>
      <t xml:space="preserve">CT-CITRI VENTA </t>
    </r>
    <r>
      <rPr>
        <sz val="11"/>
        <color rgb="FFC00000"/>
        <rFont val="Calibri"/>
        <family val="2"/>
        <scheme val="minor"/>
      </rPr>
      <t>INT</t>
    </r>
    <r>
      <rPr>
        <sz val="11"/>
        <color theme="1"/>
        <rFont val="Calibri"/>
        <family val="2"/>
        <scheme val="minor"/>
      </rPr>
      <t xml:space="preserve"> [UNIDADES]</t>
    </r>
  </si>
  <si>
    <t>CITROFOL-D VENTA EXT [UNIDADES]</t>
  </si>
  <si>
    <r>
      <t xml:space="preserve">CITROFOL-D VENTA </t>
    </r>
    <r>
      <rPr>
        <sz val="11"/>
        <color rgb="FFC00000"/>
        <rFont val="Calibri"/>
        <family val="2"/>
        <scheme val="minor"/>
      </rPr>
      <t>INT</t>
    </r>
    <r>
      <rPr>
        <sz val="11"/>
        <color theme="1"/>
        <rFont val="Calibri"/>
        <family val="2"/>
        <scheme val="minor"/>
      </rPr>
      <t xml:space="preserve"> [UNIDADES]</t>
    </r>
  </si>
  <si>
    <r>
      <t xml:space="preserve">CITROFOL-D VENTA </t>
    </r>
    <r>
      <rPr>
        <sz val="11"/>
        <color rgb="FFC00000"/>
        <rFont val="Calibri"/>
        <family val="2"/>
        <scheme val="minor"/>
      </rPr>
      <t>PRUEBAS</t>
    </r>
    <r>
      <rPr>
        <sz val="11"/>
        <color theme="1"/>
        <rFont val="Calibri"/>
        <family val="2"/>
        <scheme val="minor"/>
      </rPr>
      <t xml:space="preserve"> [UNIDADES]</t>
    </r>
  </si>
  <si>
    <t>JADAM VENTA EXT [UNIDADES]</t>
  </si>
  <si>
    <r>
      <t xml:space="preserve">JADAM VENTA </t>
    </r>
    <r>
      <rPr>
        <sz val="11"/>
        <color rgb="FFC00000"/>
        <rFont val="Calibri"/>
        <family val="2"/>
        <scheme val="minor"/>
      </rPr>
      <t>INT</t>
    </r>
    <r>
      <rPr>
        <sz val="11"/>
        <color theme="1"/>
        <rFont val="Calibri"/>
        <family val="2"/>
        <scheme val="minor"/>
      </rPr>
      <t xml:space="preserve"> [UNIDADES]</t>
    </r>
  </si>
  <si>
    <r>
      <t xml:space="preserve">JADAM VENTA </t>
    </r>
    <r>
      <rPr>
        <sz val="11"/>
        <color rgb="FFC00000"/>
        <rFont val="Calibri"/>
        <family val="2"/>
        <scheme val="minor"/>
      </rPr>
      <t>PRUEBAS</t>
    </r>
    <r>
      <rPr>
        <sz val="11"/>
        <color theme="1"/>
        <rFont val="Calibri"/>
        <family val="2"/>
        <scheme val="minor"/>
      </rPr>
      <t xml:space="preserve"> [UNIDADES]</t>
    </r>
  </si>
  <si>
    <t>MD-CITRI $/VENTA EXT [L]</t>
  </si>
  <si>
    <r>
      <t xml:space="preserve">MD-CITRI $/VENTA </t>
    </r>
    <r>
      <rPr>
        <sz val="11"/>
        <color rgb="FFC00000"/>
        <rFont val="Calibri"/>
        <family val="2"/>
        <scheme val="minor"/>
      </rPr>
      <t>INT</t>
    </r>
    <r>
      <rPr>
        <sz val="11"/>
        <color theme="1"/>
        <rFont val="Calibri"/>
        <family val="2"/>
        <scheme val="minor"/>
      </rPr>
      <t xml:space="preserve"> [L]</t>
    </r>
  </si>
  <si>
    <t>CT-CITRI $/VENTA EXT [L]</t>
  </si>
  <si>
    <r>
      <t xml:space="preserve">CT-CITRI $/VENTA </t>
    </r>
    <r>
      <rPr>
        <sz val="11"/>
        <color rgb="FFC00000"/>
        <rFont val="Calibri"/>
        <family val="2"/>
        <scheme val="minor"/>
      </rPr>
      <t>INT</t>
    </r>
    <r>
      <rPr>
        <sz val="11"/>
        <color theme="1"/>
        <rFont val="Calibri"/>
        <family val="2"/>
        <scheme val="minor"/>
      </rPr>
      <t xml:space="preserve"> [L]</t>
    </r>
  </si>
  <si>
    <t>CITROFOL-D $/VENTA EXT [L]</t>
  </si>
  <si>
    <r>
      <t xml:space="preserve">CITROFOL-D $/VENTA </t>
    </r>
    <r>
      <rPr>
        <sz val="11"/>
        <color rgb="FFC00000"/>
        <rFont val="Calibri"/>
        <family val="2"/>
        <scheme val="minor"/>
      </rPr>
      <t>INT</t>
    </r>
    <r>
      <rPr>
        <sz val="11"/>
        <color theme="1"/>
        <rFont val="Calibri"/>
        <family val="2"/>
        <scheme val="minor"/>
      </rPr>
      <t xml:space="preserve"> [L]</t>
    </r>
  </si>
  <si>
    <t>JADAM $/VENTA EXT [L]</t>
  </si>
  <si>
    <r>
      <t xml:space="preserve">JADAM $/VENTA </t>
    </r>
    <r>
      <rPr>
        <sz val="11"/>
        <color rgb="FFC00000"/>
        <rFont val="Calibri"/>
        <family val="2"/>
        <scheme val="minor"/>
      </rPr>
      <t>INT</t>
    </r>
    <r>
      <rPr>
        <sz val="11"/>
        <color theme="1"/>
        <rFont val="Calibri"/>
        <family val="2"/>
        <scheme val="minor"/>
      </rPr>
      <t xml:space="preserve"> [L]</t>
    </r>
  </si>
  <si>
    <t>COSTO PRODUCCIÓN - INSUMOS [$/L]</t>
  </si>
  <si>
    <t>GASTO ADMINISTRACION [$/L]</t>
  </si>
  <si>
    <t>GASTO VENTAS [$/L]</t>
  </si>
  <si>
    <t>MD-CITRI [$/L]</t>
  </si>
  <si>
    <t>CT-CITRI [$/L]</t>
  </si>
  <si>
    <t>CITROFOL-D [$/L]</t>
  </si>
  <si>
    <t>JADAM [$/L]</t>
  </si>
  <si>
    <t>Flete</t>
  </si>
  <si>
    <t>s/Flete</t>
  </si>
  <si>
    <t>Actual</t>
  </si>
  <si>
    <t>$/L Insumos, M.O., G. Admon, G Ventas, Omri</t>
  </si>
  <si>
    <t>$/L 
Insumos, M.O., 
G. Admon y G. Ventas</t>
  </si>
  <si>
    <t>$/Ha base 357 arb adulto</t>
  </si>
  <si>
    <t>Margen Externos</t>
  </si>
  <si>
    <t>SUGERIDO INTERNO</t>
  </si>
  <si>
    <t>SUGERIDO EXTERNO YUCATAN</t>
  </si>
  <si>
    <t>$/L 
Insumos, M.O., 
G. Admon y G. Ventas
OMRI y FLETE</t>
  </si>
  <si>
    <t>$/L EXTERNO [Garrafa]</t>
  </si>
  <si>
    <t>$/L INTERNO [Garrafa]</t>
  </si>
  <si>
    <t>$/L 
Insumos, M.O., 
G. Admon y G. Ventas OMRI</t>
  </si>
  <si>
    <t>SISTEMA</t>
  </si>
  <si>
    <t>CARLOS</t>
  </si>
  <si>
    <t>BD mia</t>
  </si>
  <si>
    <t>BIOFERT</t>
  </si>
  <si>
    <t>MULTIROOT [UNIDADES]</t>
  </si>
  <si>
    <t>COMPOSTA [UNIDADES]</t>
  </si>
  <si>
    <t>VERMICOMPOSTA [UNIDADES]</t>
  </si>
  <si>
    <t>LIXIVIADO [UNIDADES]</t>
  </si>
  <si>
    <t>NITRABOR LIQ [UNIDADES]</t>
  </si>
  <si>
    <t>MULTIROOT VENTA EXT [UNIDADES]</t>
  </si>
  <si>
    <r>
      <t xml:space="preserve">MULTIROOT VENTA </t>
    </r>
    <r>
      <rPr>
        <sz val="11"/>
        <color rgb="FFC00000"/>
        <rFont val="Calibri"/>
        <family val="2"/>
        <scheme val="minor"/>
      </rPr>
      <t>INT</t>
    </r>
    <r>
      <rPr>
        <sz val="11"/>
        <color theme="1"/>
        <rFont val="Calibri"/>
        <family val="2"/>
        <scheme val="minor"/>
      </rPr>
      <t xml:space="preserve"> [UNIDADES]</t>
    </r>
  </si>
  <si>
    <r>
      <t xml:space="preserve">LIXIVIADO VENTA </t>
    </r>
    <r>
      <rPr>
        <sz val="11"/>
        <color rgb="FFFF0000"/>
        <rFont val="Calibri"/>
        <family val="2"/>
        <scheme val="minor"/>
      </rPr>
      <t>INT</t>
    </r>
    <r>
      <rPr>
        <sz val="11"/>
        <color theme="1"/>
        <rFont val="Calibri"/>
        <family val="2"/>
        <scheme val="minor"/>
      </rPr>
      <t xml:space="preserve"> [UNIDADES]</t>
    </r>
  </si>
  <si>
    <r>
      <t xml:space="preserve">COMPOSTA VENTA </t>
    </r>
    <r>
      <rPr>
        <sz val="11"/>
        <color rgb="FFFF0000"/>
        <rFont val="Calibri"/>
        <family val="2"/>
        <scheme val="minor"/>
      </rPr>
      <t>INT</t>
    </r>
    <r>
      <rPr>
        <sz val="11"/>
        <color theme="1"/>
        <rFont val="Calibri"/>
        <family val="2"/>
        <scheme val="minor"/>
      </rPr>
      <t xml:space="preserve"> [UNIDADES]</t>
    </r>
  </si>
  <si>
    <r>
      <t xml:space="preserve">VERMICOMPOSTA VENTA </t>
    </r>
    <r>
      <rPr>
        <sz val="11"/>
        <color rgb="FFFF0000"/>
        <rFont val="Calibri"/>
        <family val="2"/>
        <scheme val="minor"/>
      </rPr>
      <t>INT</t>
    </r>
    <r>
      <rPr>
        <sz val="11"/>
        <color theme="1"/>
        <rFont val="Calibri"/>
        <family val="2"/>
        <scheme val="minor"/>
      </rPr>
      <t xml:space="preserve"> [UNIDADES]</t>
    </r>
  </si>
  <si>
    <r>
      <t xml:space="preserve">NITRABOR LIQ VENTA </t>
    </r>
    <r>
      <rPr>
        <sz val="11"/>
        <color rgb="FFFF0000"/>
        <rFont val="Calibri"/>
        <family val="2"/>
        <scheme val="minor"/>
      </rPr>
      <t>INT</t>
    </r>
    <r>
      <rPr>
        <sz val="11"/>
        <color theme="1"/>
        <rFont val="Calibri"/>
        <family val="2"/>
        <scheme val="minor"/>
      </rPr>
      <t xml:space="preserve"> [UNIDADES]</t>
    </r>
  </si>
  <si>
    <t>LIXIVIADO S/COBRO [UNIDADES]</t>
  </si>
  <si>
    <t>MULTIROOT $/VENTA EXT [L]</t>
  </si>
  <si>
    <r>
      <t xml:space="preserve">MULTIROOT $/VENTA </t>
    </r>
    <r>
      <rPr>
        <sz val="11"/>
        <color rgb="FFFF0000"/>
        <rFont val="Calibri"/>
        <family val="2"/>
        <scheme val="minor"/>
      </rPr>
      <t>INT</t>
    </r>
    <r>
      <rPr>
        <sz val="11"/>
        <color theme="1"/>
        <rFont val="Calibri"/>
        <family val="2"/>
        <scheme val="minor"/>
      </rPr>
      <t xml:space="preserve"> [L]</t>
    </r>
  </si>
  <si>
    <r>
      <t xml:space="preserve">LIXIVIADO $/VENTA </t>
    </r>
    <r>
      <rPr>
        <sz val="11"/>
        <color rgb="FFFF0000"/>
        <rFont val="Calibri"/>
        <family val="2"/>
        <scheme val="minor"/>
      </rPr>
      <t>INT</t>
    </r>
    <r>
      <rPr>
        <sz val="11"/>
        <color theme="1"/>
        <rFont val="Calibri"/>
        <family val="2"/>
        <scheme val="minor"/>
      </rPr>
      <t xml:space="preserve"> [L]</t>
    </r>
  </si>
  <si>
    <r>
      <t xml:space="preserve">COMPOSTA $/VENTA </t>
    </r>
    <r>
      <rPr>
        <sz val="11"/>
        <color rgb="FFFF0000"/>
        <rFont val="Calibri"/>
        <family val="2"/>
        <scheme val="minor"/>
      </rPr>
      <t>INT</t>
    </r>
    <r>
      <rPr>
        <sz val="11"/>
        <color theme="1"/>
        <rFont val="Calibri"/>
        <family val="2"/>
        <scheme val="minor"/>
      </rPr>
      <t xml:space="preserve"> [L]</t>
    </r>
  </si>
  <si>
    <r>
      <t xml:space="preserve">VERMICOMPOSTA $/VENTA </t>
    </r>
    <r>
      <rPr>
        <sz val="11"/>
        <color rgb="FFFF0000"/>
        <rFont val="Calibri"/>
        <family val="2"/>
        <scheme val="minor"/>
      </rPr>
      <t>INT</t>
    </r>
    <r>
      <rPr>
        <sz val="11"/>
        <color theme="1"/>
        <rFont val="Calibri"/>
        <family val="2"/>
        <scheme val="minor"/>
      </rPr>
      <t xml:space="preserve"> [L]</t>
    </r>
  </si>
  <si>
    <r>
      <t xml:space="preserve">NITRABOR LIQ $/VENTA </t>
    </r>
    <r>
      <rPr>
        <sz val="11"/>
        <color rgb="FFFF0000"/>
        <rFont val="Calibri"/>
        <family val="2"/>
        <scheme val="minor"/>
      </rPr>
      <t>INT</t>
    </r>
    <r>
      <rPr>
        <sz val="11"/>
        <color theme="1"/>
        <rFont val="Calibri"/>
        <family val="2"/>
        <scheme val="minor"/>
      </rPr>
      <t xml:space="preserve"> [L]</t>
    </r>
  </si>
  <si>
    <t>MULTIROOT VENTA EXTERNA [$]</t>
  </si>
  <si>
    <r>
      <t xml:space="preserve">LIXIVIADO VENTA </t>
    </r>
    <r>
      <rPr>
        <sz val="11"/>
        <color rgb="FFFF0000"/>
        <rFont val="Calibri"/>
        <family val="2"/>
        <scheme val="minor"/>
      </rPr>
      <t>INTERNA</t>
    </r>
    <r>
      <rPr>
        <sz val="11"/>
        <color theme="1"/>
        <rFont val="Calibri"/>
        <family val="2"/>
        <scheme val="minor"/>
      </rPr>
      <t xml:space="preserve"> [$]</t>
    </r>
  </si>
  <si>
    <r>
      <t xml:space="preserve">COMPOSTA VENTA </t>
    </r>
    <r>
      <rPr>
        <sz val="11"/>
        <color rgb="FFFF0000"/>
        <rFont val="Calibri"/>
        <family val="2"/>
        <scheme val="minor"/>
      </rPr>
      <t>INTERNA</t>
    </r>
    <r>
      <rPr>
        <sz val="11"/>
        <color theme="1"/>
        <rFont val="Calibri"/>
        <family val="2"/>
        <scheme val="minor"/>
      </rPr>
      <t xml:space="preserve"> [$]</t>
    </r>
  </si>
  <si>
    <r>
      <t xml:space="preserve">VERMICOMPOSTA VENTA </t>
    </r>
    <r>
      <rPr>
        <sz val="11"/>
        <color rgb="FFFF0000"/>
        <rFont val="Calibri"/>
        <family val="2"/>
        <scheme val="minor"/>
      </rPr>
      <t>INTERNA</t>
    </r>
    <r>
      <rPr>
        <sz val="11"/>
        <color theme="1"/>
        <rFont val="Calibri"/>
        <family val="2"/>
        <scheme val="minor"/>
      </rPr>
      <t xml:space="preserve"> [$]</t>
    </r>
  </si>
  <si>
    <r>
      <t xml:space="preserve">NITRABOR LIQ VENTA </t>
    </r>
    <r>
      <rPr>
        <sz val="11"/>
        <color rgb="FFFF0000"/>
        <rFont val="Calibri"/>
        <family val="2"/>
        <scheme val="minor"/>
      </rPr>
      <t>INTERNA</t>
    </r>
    <r>
      <rPr>
        <sz val="11"/>
        <color theme="1"/>
        <rFont val="Calibri"/>
        <family val="2"/>
        <scheme val="minor"/>
      </rPr>
      <t xml:space="preserve"> [$]</t>
    </r>
  </si>
  <si>
    <r>
      <t xml:space="preserve">MULTIROOT VENTA </t>
    </r>
    <r>
      <rPr>
        <sz val="11"/>
        <color rgb="FFFF0000"/>
        <rFont val="Calibri"/>
        <family val="2"/>
        <scheme val="minor"/>
      </rPr>
      <t>INTERNA</t>
    </r>
    <r>
      <rPr>
        <sz val="11"/>
        <color theme="1"/>
        <rFont val="Calibri"/>
        <family val="2"/>
        <scheme val="minor"/>
      </rPr>
      <t xml:space="preserve"> [$]</t>
    </r>
  </si>
  <si>
    <r>
      <t>VENTA</t>
    </r>
    <r>
      <rPr>
        <sz val="11"/>
        <color rgb="FFFF0000"/>
        <rFont val="Calibri"/>
        <family val="2"/>
        <scheme val="minor"/>
      </rPr>
      <t xml:space="preserve"> INTERNA</t>
    </r>
    <r>
      <rPr>
        <sz val="11"/>
        <color theme="1"/>
        <rFont val="Calibri"/>
        <family val="2"/>
        <scheme val="minor"/>
      </rPr>
      <t xml:space="preserve"> [$]</t>
    </r>
  </si>
  <si>
    <t>CONSUMIBLES Y MAQUINARIA</t>
  </si>
  <si>
    <t>MANT. Y SERV. EQU. TRANSPORTE</t>
  </si>
  <si>
    <t>GASTOS FIJOS RANCHOS</t>
  </si>
  <si>
    <t xml:space="preserve">ALIMENTACION DE VERMICOMPOSTA </t>
  </si>
  <si>
    <t xml:space="preserve">2 CARRETILLAS </t>
  </si>
  <si>
    <t>200 KG/C</t>
  </si>
  <si>
    <t xml:space="preserve">28 CARRETILLAS </t>
  </si>
  <si>
    <t xml:space="preserve">5,600 Kg/Alimetada </t>
  </si>
  <si>
    <t>2A/S</t>
  </si>
  <si>
    <t>11,200kg/S</t>
  </si>
  <si>
    <t xml:space="preserve">CUBETA </t>
  </si>
  <si>
    <t>M3</t>
  </si>
  <si>
    <t>CARRETILLA</t>
  </si>
  <si>
    <t>CARRETILLAS</t>
  </si>
  <si>
    <t>gallinaza</t>
  </si>
  <si>
    <t>SALIDA DE MATERIA PRIMA</t>
  </si>
  <si>
    <t xml:space="preserve">ENTRADA </t>
  </si>
  <si>
    <t>VIAJES DE ESTIERCOL</t>
  </si>
  <si>
    <t>KG</t>
  </si>
  <si>
    <t>ESTIERCOL</t>
  </si>
  <si>
    <t>GALLINAZA</t>
  </si>
  <si>
    <t xml:space="preserve">SALIDAS </t>
  </si>
  <si>
    <t>SALIDAS</t>
  </si>
  <si>
    <t>100.99 m3</t>
  </si>
  <si>
    <t>91.1m3</t>
  </si>
  <si>
    <t>370.09m3</t>
  </si>
  <si>
    <t>121.5m3</t>
  </si>
  <si>
    <t>139.08m3</t>
  </si>
  <si>
    <t>80.137 Ton</t>
  </si>
  <si>
    <t>297.674 Ton</t>
  </si>
  <si>
    <t>97.7225 Ton</t>
  </si>
  <si>
    <t>110.363Ton</t>
  </si>
  <si>
    <t>72.28 Ton</t>
  </si>
  <si>
    <t>COSTO PRODUCCIÓN - INSUMOS [$/Kg]</t>
  </si>
  <si>
    <t>GASTO ADMINISTRACION [$/Kg</t>
  </si>
  <si>
    <t>GASTO VENTAS [$/Kg]</t>
  </si>
  <si>
    <t>COMPOSTA [$/Kg]</t>
  </si>
  <si>
    <t>VERMICOMPOSTA [$/Kg]</t>
  </si>
  <si>
    <t>MULTIROOT</t>
  </si>
  <si>
    <t>NITRABOR LIQ. [$/L]</t>
  </si>
  <si>
    <t>MULTIROOT [$/L]</t>
  </si>
  <si>
    <t>LIXIVIADO [$/Ll]</t>
  </si>
  <si>
    <t>AGROECO</t>
  </si>
  <si>
    <t>Insecticida y repelente botánico a base de aceites esenciales, el cual posee un poder de acción residual que permite la protección del cultivo, se utiliza principalmente para el control de insectos: Minador (Phyllocnistis citrella), Psílido asiático (Diaphorina citri), Araña Roja (Tetranychus urticae) y Trips. Posee un amplio espectro de acción contra insectos plaga y enfermedades fúngicas.</t>
  </si>
  <si>
    <t>DESCRIPCIÓN</t>
  </si>
  <si>
    <t>DOSIS</t>
  </si>
  <si>
    <t>$/L INTERNO [Presentacion Garrafa]</t>
  </si>
  <si>
    <r>
      <t>$/Ha</t>
    </r>
    <r>
      <rPr>
        <sz val="12"/>
        <color theme="1"/>
        <rFont val="Calibri"/>
        <family val="2"/>
        <scheme val="minor"/>
      </rPr>
      <t xml:space="preserve"> base 357 arb adulto</t>
    </r>
  </si>
  <si>
    <t>kg/m2</t>
  </si>
  <si>
    <t>M2/cama</t>
  </si>
  <si>
    <t>Kg Lombriz/cama</t>
  </si>
  <si>
    <t>Importe estimado</t>
  </si>
  <si>
    <t>$/kg</t>
  </si>
  <si>
    <t>Lixiviado Vermicomposta</t>
  </si>
  <si>
    <t>MD-CITRI</t>
  </si>
  <si>
    <t>Proganic Alfa</t>
  </si>
  <si>
    <t>Proganic Gama</t>
  </si>
  <si>
    <t>Multiroot-Fulfi</t>
  </si>
  <si>
    <t>Marzo</t>
  </si>
  <si>
    <t>Presentación</t>
  </si>
  <si>
    <t>Bidon 50 L</t>
  </si>
  <si>
    <t>Bidon 20 L</t>
  </si>
  <si>
    <t>Cubeta 19 L</t>
  </si>
  <si>
    <t>Contenedor de miel</t>
  </si>
  <si>
    <t>Miel cristalizada</t>
  </si>
  <si>
    <t>Botella 1 L</t>
  </si>
  <si>
    <t>SUBTOTAL</t>
  </si>
  <si>
    <t>Ambar Oscura</t>
  </si>
  <si>
    <t>Ambar Clara</t>
  </si>
  <si>
    <t>Botella 1 L [Clara] -Kg-</t>
  </si>
  <si>
    <t>Botella 1 L [Obsc] -Kg-</t>
  </si>
  <si>
    <t>Cbta 19 L [Clara] -Kg-</t>
  </si>
  <si>
    <t>Cbta 19 L [Obsc] -Kg-</t>
  </si>
  <si>
    <t>Bidon 20 L [Clara] -Kg-</t>
  </si>
  <si>
    <t>Bidon 50 L [Clara] -Kg-</t>
  </si>
  <si>
    <t>Bidon 50 L [Obsc] -Kg-</t>
  </si>
  <si>
    <t>Botella 1 L [Clara] -L-</t>
  </si>
  <si>
    <t>Botella 1 L [Obsc] -L-</t>
  </si>
  <si>
    <t>Cbta 19 L [Clara] -L-</t>
  </si>
  <si>
    <t>Cbta 19 L [Obsc] -L-</t>
  </si>
  <si>
    <t>Bidon 20 L [Clara] -L-</t>
  </si>
  <si>
    <t>Bidon 50 L [Clara] -L-</t>
  </si>
  <si>
    <t>Bidon 50 L [Obsc] -L-</t>
  </si>
  <si>
    <t>Volumen -Kg-</t>
  </si>
  <si>
    <t>Volumen -L-</t>
  </si>
  <si>
    <t>$/L 1</t>
  </si>
  <si>
    <t>$/L 2</t>
  </si>
  <si>
    <t>IMPORTE [$]</t>
  </si>
  <si>
    <t>$/Kg 1</t>
  </si>
  <si>
    <t>$/Kg 2</t>
  </si>
  <si>
    <t>IMPORTE [$]2</t>
  </si>
  <si>
    <t>MIEL [L]</t>
  </si>
  <si>
    <t>CRISOPAS [L]</t>
  </si>
  <si>
    <t>VERMICOMPOSTA [Kg]</t>
  </si>
  <si>
    <t>LIXIVIADO [L]</t>
  </si>
  <si>
    <t>NITRABOR LIQ [L]</t>
  </si>
  <si>
    <t>MULTIROOT [L]</t>
  </si>
  <si>
    <t>MD-CITRI [L]</t>
  </si>
  <si>
    <t>COMPOSTA [Kg]</t>
  </si>
  <si>
    <t>CT-CITRI [L]</t>
  </si>
  <si>
    <t>CITROFOL-D [L]</t>
  </si>
  <si>
    <t>JADAM [L]</t>
  </si>
  <si>
    <t>Bidon 20 L [Obsc.] -Kg-</t>
  </si>
  <si>
    <t>Bidon 20 L [Obsc.] -L-</t>
  </si>
  <si>
    <t>Miel Bote Litro</t>
  </si>
  <si>
    <t>=&gt;</t>
  </si>
  <si>
    <t>Nota1: Analisis Fisicoquimicos  en Juio 2023</t>
  </si>
  <si>
    <t>Nota2: Analisis Multiresidual, realizado por el Comite en Oct/2022</t>
  </si>
  <si>
    <t>1 vuelta para 2,852 Ha / 2023</t>
  </si>
  <si>
    <t>Consumo 2023</t>
  </si>
  <si>
    <t xml:space="preserve"> Equivalente en vueltas 2023</t>
  </si>
  <si>
    <t xml:space="preserve">5 vueltas/año </t>
  </si>
  <si>
    <t xml:space="preserve">4 vueltas/año </t>
  </si>
  <si>
    <t xml:space="preserve">6 vueltas/año en plantilla 
2 vueltas/año </t>
  </si>
  <si>
    <t>Propuesta</t>
  </si>
  <si>
    <t xml:space="preserve">3 vueltas/año </t>
  </si>
  <si>
    <t>2023 INTERNO</t>
  </si>
  <si>
    <t>2023 EXTERNO</t>
  </si>
  <si>
    <t>$ Mx</t>
  </si>
  <si>
    <t>Requerimiento 3 meses</t>
  </si>
  <si>
    <t>Requerimiento 2 meses</t>
  </si>
  <si>
    <t>Requerimiento 9 meses (may a ene)</t>
  </si>
  <si>
    <t>Rakesh Sandal</t>
  </si>
  <si>
    <t>Ayuroma Centre [$/L]</t>
  </si>
  <si>
    <t>Parvitra [$/L]</t>
  </si>
  <si>
    <t>Volumen [L]</t>
  </si>
  <si>
    <t>Ayuroma Centre</t>
  </si>
  <si>
    <t>Parvitra</t>
  </si>
  <si>
    <r>
      <rPr>
        <b/>
        <sz val="11"/>
        <color theme="1"/>
        <rFont val="Calibri"/>
        <family val="2"/>
        <scheme val="minor"/>
      </rPr>
      <t>Parvita</t>
    </r>
    <r>
      <rPr>
        <sz val="11"/>
        <color theme="1"/>
        <rFont val="Calibri"/>
        <family val="2"/>
        <scheme val="minor"/>
      </rPr>
      <t xml:space="preserve"> es un proovedor Nacional con el que hemos estado trabajando y nos da credito de 50% anticipo y el resto a 15 dias.
El envio es via terrestre directo a Almacen y nos ofrece que corre por su cuenta.
La calidad nos ha funcionado bien.
Aun no se le ha presentado la programacion, con el objetivo de mejorar precio, la ventaja es que se puede programar las entregas y no tener materiales inventariados en el tiempo.</t>
    </r>
  </si>
  <si>
    <r>
      <rPr>
        <b/>
        <sz val="11"/>
        <color theme="1"/>
        <rFont val="Calibri"/>
        <family val="2"/>
        <scheme val="minor"/>
      </rPr>
      <t>Ayuroma</t>
    </r>
    <r>
      <rPr>
        <sz val="11"/>
        <color theme="1"/>
        <rFont val="Calibri"/>
        <family val="2"/>
        <scheme val="minor"/>
      </rPr>
      <t>, demanda ciertos volumenes para completar carga de contenedor, que aun no estan aqui considerardos. 
Los tiempos de la compra anterior, han sido de 3-6 meses. 
Si se toma la decision de importacion, tenemos que preparnos con material local, en lo que se realiza la transaccion. 
El espacio disponible para almacenar dichos volumnes esta comprometido.</t>
    </r>
  </si>
  <si>
    <t>AGROECOLOGÍA</t>
  </si>
  <si>
    <t>CONTROL BIOLÓGICO</t>
  </si>
  <si>
    <t>GASTO ADMINISTRACIÓN [$]</t>
  </si>
  <si>
    <t>INVERSIÓN/ACTIVO</t>
  </si>
  <si>
    <t>Bidon 20 L (kg)</t>
  </si>
  <si>
    <t>Bidon 50 L (Kg)</t>
  </si>
  <si>
    <t>Bidon 20 L (L)</t>
  </si>
  <si>
    <t>Bidon 50 L (L)</t>
  </si>
  <si>
    <t>INVENTARIO ORIGINAL</t>
  </si>
  <si>
    <t>Miel [Kg]</t>
  </si>
  <si>
    <t>Miel Enviada</t>
  </si>
  <si>
    <t>Diferencia</t>
  </si>
  <si>
    <t>Miel Cristalizada</t>
  </si>
  <si>
    <t>Desoperculador</t>
  </si>
  <si>
    <t>MAYO</t>
  </si>
  <si>
    <t>Inventario s20</t>
  </si>
  <si>
    <t>132 garrafas</t>
  </si>
  <si>
    <t>32 garrafas negras</t>
  </si>
  <si>
    <t>100 garrafas</t>
  </si>
  <si>
    <t>Precio que se nos iba a pagar</t>
  </si>
  <si>
    <t>Precio que se nos esta ofreciendo</t>
  </si>
  <si>
    <t>Recogerlas y que ventajas tendriamos con el banco de alimentos</t>
  </si>
  <si>
    <t>Esto dejamos de ganar</t>
  </si>
  <si>
    <t>Si recojemos todo pagar los $40,000 (perdiendole) y lo que fuera por el movimiento al banco de alimentos</t>
  </si>
  <si>
    <t>$/Kg</t>
  </si>
  <si>
    <t>sem 22</t>
  </si>
  <si>
    <t>Requerimiento 7 meses (jul a ene)</t>
  </si>
  <si>
    <t>1 mes</t>
  </si>
  <si>
    <t xml:space="preserve">Inventario </t>
  </si>
  <si>
    <t>compra Mayo</t>
  </si>
  <si>
    <t>Req. prox. 1 Mes</t>
  </si>
  <si>
    <t>Req. prox. 2 Meses</t>
  </si>
  <si>
    <t>Req. prox. 3 Meses</t>
  </si>
  <si>
    <t>Req. prox. 7 Meses</t>
  </si>
  <si>
    <t>Cotizacion Junio</t>
  </si>
  <si>
    <t>MANT. Y REP. EQUIPO  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</si>
</sst>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0">
    <numFmt numFmtId="6" formatCode="&quot;$&quot;#,##0;[Red]\-&quot;$&quot;#,##0"/>
    <numFmt numFmtId="8" formatCode="&quot;$&quot;#,##0.00;[Red]\-&quot;$&quot;#,##0.00"/>
    <numFmt numFmtId="44" formatCode="_-&quot;$&quot;* #,##0.00_-;\-&quot;$&quot;* #,##0.00_-;_-&quot;$&quot;* &quot;-&quot;??_-;_-@_-"/>
    <numFmt numFmtId="43" formatCode="_-* #,##0.00_-;\-* #,##0.00_-;_-* &quot;-&quot;??_-;_-@_-"/>
    <numFmt numFmtId="164" formatCode="#,##0\ &quot;€&quot;;[Red]\-#,##0\ &quot;€&quot;"/>
    <numFmt numFmtId="165" formatCode="_(&quot;€&quot;* #,##0.00_);_(&quot;€&quot;* \(#,##0.00\);_(&quot;€&quot;* &quot;-&quot;??_);_(@_)"/>
    <numFmt numFmtId="166" formatCode="_(* #,##0.00_);_(* \(#,##0.00\);_(* &quot;-&quot;??_);_(@_)"/>
    <numFmt numFmtId="167" formatCode="_-[$€-2]* #,##0.00_-;\-[$€-2]* #,##0.00_-;_-[$€-2]* &quot;-&quot;??_-"/>
    <numFmt numFmtId="168" formatCode="#,##0.00000000"/>
    <numFmt numFmtId="169" formatCode="_-* #,##0.00\ _P_t_s_-;\-* #,##0.00\ _P_t_s_-;_-* &quot;-&quot;??\ _P_t_s_-;_-@_-"/>
    <numFmt numFmtId="170" formatCode="General_)"/>
    <numFmt numFmtId="171" formatCode="#,##0\ &quot;L&quot;"/>
    <numFmt numFmtId="172" formatCode="#,##0.0\ &quot;Kg&quot;"/>
    <numFmt numFmtId="173" formatCode="#,##0.000"/>
    <numFmt numFmtId="174" formatCode="#,##0\ &quot;ppm&quot;"/>
    <numFmt numFmtId="175" formatCode="#,##0.0\ &quot;L&quot;"/>
    <numFmt numFmtId="176" formatCode="0.00\ &quot;L&quot;"/>
    <numFmt numFmtId="177" formatCode="#,##0.0"/>
    <numFmt numFmtId="178" formatCode="&quot;$&quot;#,##0.00"/>
    <numFmt numFmtId="179" formatCode="&quot;$&quot;\ 0\ \L"/>
    <numFmt numFmtId="180" formatCode="0.0\ &quot;ml/L&quot;"/>
    <numFmt numFmtId="181" formatCode="#,##0&quot; L&quot;"/>
    <numFmt numFmtId="182" formatCode="&quot;$&quot;#,##0&quot;/L&quot;"/>
    <numFmt numFmtId="183" formatCode="0.0\ &quot;L&quot;"/>
    <numFmt numFmtId="184" formatCode="&quot;$&quot;#,##0.0"/>
    <numFmt numFmtId="185" formatCode="&quot;$&quot;#,##0&quot;/Kg&quot;"/>
    <numFmt numFmtId="186" formatCode="0.0\ &quot;Kg&quot;"/>
    <numFmt numFmtId="187" formatCode="0.0\ &quot;gr/L&quot;"/>
    <numFmt numFmtId="188" formatCode="0.0%"/>
    <numFmt numFmtId="189" formatCode="0.0\ &quot;Ha&quot;"/>
    <numFmt numFmtId="190" formatCode="#,##0.0\ &quot;ml&quot;"/>
    <numFmt numFmtId="191" formatCode="&quot;BR-&quot;#"/>
    <numFmt numFmtId="192" formatCode="#,##0\ &quot;pz&quot;"/>
    <numFmt numFmtId="193" formatCode="0.0"/>
    <numFmt numFmtId="194" formatCode="0.0\ &quot;Ton&quot;"/>
    <numFmt numFmtId="195" formatCode="&quot;S-&quot;#\ &quot;/23&quot;"/>
    <numFmt numFmtId="196" formatCode="&quot;S-&quot;#\ &quot;/24&quot;"/>
    <numFmt numFmtId="197" formatCode="&quot;$&quot;#,##0.0\ &quot;/Kg&quot;"/>
    <numFmt numFmtId="198" formatCode="&quot;$&quot;#,##0.00&quot;/L&quot;"/>
    <numFmt numFmtId="199" formatCode="#,##0.0000\ &quot;m3&quot;"/>
    <numFmt numFmtId="200" formatCode="#,##0.0\ &quot;m3&quot;"/>
    <numFmt numFmtId="201" formatCode="#,##0\ &quot;m3&quot;"/>
    <numFmt numFmtId="202" formatCode="#,##0.0\ &quot;Ton&quot;"/>
    <numFmt numFmtId="203" formatCode="0.000"/>
    <numFmt numFmtId="204" formatCode="#,##0.00\ &quot;Ton&quot;"/>
    <numFmt numFmtId="205" formatCode="#,##0.00\ &quot;m3&quot;"/>
    <numFmt numFmtId="206" formatCode="#,##0.0\ &quot;cuch&quot;"/>
    <numFmt numFmtId="207" formatCode="#,##0.00\ &quot;Kg&quot;"/>
    <numFmt numFmtId="208" formatCode="0.00\ &quot;m3&quot;"/>
    <numFmt numFmtId="209" formatCode="0.0000\ &quot;m3&quot;"/>
    <numFmt numFmtId="210" formatCode="#,###\ &quot;pz&quot;\ "/>
    <numFmt numFmtId="211" formatCode="#,##0.00&quot; L&quot;"/>
    <numFmt numFmtId="212" formatCode="#,##0.00\ &quot;L&quot;"/>
    <numFmt numFmtId="213" formatCode="#,##0.0\ &quot;gr&quot;"/>
    <numFmt numFmtId="214" formatCode="#,###.00\ &quot;L&quot;\ "/>
    <numFmt numFmtId="215" formatCode="#,##0.0\ &quot;ppm&quot;"/>
    <numFmt numFmtId="216" formatCode="#,##0.00\ &quot;gr&quot;"/>
    <numFmt numFmtId="217" formatCode="#,##0.00\ &quot;ml&quot;"/>
    <numFmt numFmtId="218" formatCode="_-* #,##0_-;\-* #,##0_-;_-* &quot;-&quot;??_-;_-@_-"/>
    <numFmt numFmtId="219" formatCode="_-* #,##0.000_-;\-* #,##0.000_-;_-* &quot;-&quot;??_-;_-@_-"/>
    <numFmt numFmtId="220" formatCode="&quot;F-&quot;#"/>
    <numFmt numFmtId="221" formatCode="#,##0.0_ ;\-#,##0.0\ "/>
    <numFmt numFmtId="222" formatCode="#,##0.00_ ;\-#,##0.00\ "/>
    <numFmt numFmtId="223" formatCode="&quot;$&quot;#,##0.0;\-&quot;$&quot;#,##0.0"/>
    <numFmt numFmtId="224" formatCode="#,##0.0%;[Red]\-#,##0.0%"/>
    <numFmt numFmtId="225" formatCode="_-* #,##0.0_-;\-* #,##0.0_-;_-* &quot;-&quot;??_-;_-@_-"/>
    <numFmt numFmtId="226" formatCode="0.0&quot;ml/L&quot;"/>
    <numFmt numFmtId="227" formatCode="&quot;$&quot;#,##0.0&quot;/L&quot;"/>
    <numFmt numFmtId="228" formatCode="0.0&quot;ml/Ha&quot;"/>
    <numFmt numFmtId="229" formatCode="&quot;$&quot;#,##0.0&quot;/Ton&quot;"/>
    <numFmt numFmtId="230" formatCode="0.0&quot; Ton&quot;"/>
    <numFmt numFmtId="231" formatCode="0.00&quot; Ton/Ha&quot;"/>
    <numFmt numFmtId="232" formatCode="0.0\ &quot;mL/L&quot;"/>
    <numFmt numFmtId="233" formatCode="0.000\ &quot;kg&quot;"/>
    <numFmt numFmtId="234" formatCode="0.000\ &quot;L&quot;"/>
    <numFmt numFmtId="235" formatCode="0\ &quot;L&quot;"/>
    <numFmt numFmtId="236" formatCode="0\ &quot;mL&quot;"/>
    <numFmt numFmtId="237" formatCode="0\ &quot;kg&quot;"/>
    <numFmt numFmtId="238" formatCode="0\ &quot;ml/apl.&quot;"/>
    <numFmt numFmtId="239" formatCode="0.0\ &quot;ml/apl.&quot;"/>
    <numFmt numFmtId="240" formatCode="0.00000"/>
    <numFmt numFmtId="241" formatCode="0.00\ &quot;kg&quot;"/>
    <numFmt numFmtId="242" formatCode="0.00000\ &quot;kg&quot;"/>
    <numFmt numFmtId="243" formatCode="0.0000\ &quot;kg&quot;"/>
    <numFmt numFmtId="244" formatCode="0.000000\ &quot;kg&quot;"/>
    <numFmt numFmtId="245" formatCode="#,##0\ &quot;mg/L&quot;"/>
    <numFmt numFmtId="246" formatCode="0.00\ &quot;mg&quot;"/>
    <numFmt numFmtId="247" formatCode="#,##0.00\ &quot;mg&quot;"/>
    <numFmt numFmtId="248" formatCode="#,##0.0000\ &quot;mg&quot;"/>
    <numFmt numFmtId="249" formatCode="#,##0\ &quot;mg&quot;"/>
    <numFmt numFmtId="250" formatCode="&quot;$&quot;#,##0.000"/>
    <numFmt numFmtId="251" formatCode="0.0\ &quot;gr IA/L&quot;"/>
    <numFmt numFmtId="252" formatCode="0\ &quot;gr IA/L&quot;"/>
    <numFmt numFmtId="253" formatCode="&quot;S-&quot;0&quot;/24&quot;"/>
    <numFmt numFmtId="254" formatCode="#,##0.000\ &quot;Kg&quot;"/>
    <numFmt numFmtId="255" formatCode="[$$-80A]#,##0.00"/>
    <numFmt numFmtId="256" formatCode="[$$-80A]#,##0.00;[Red]\-[$$-80A]#,##0.00"/>
    <numFmt numFmtId="257" formatCode="0.000\ &quot;Kg&quot;"/>
    <numFmt numFmtId="258" formatCode="#,##0.00\ &quot;pz&quot;"/>
    <numFmt numFmtId="259" formatCode="#,###.0\ &quot;L&quot;\ "/>
    <numFmt numFmtId="260" formatCode="#,###.0\ &quot;pz&quot;\ "/>
    <numFmt numFmtId="261" formatCode="#,###.0\ &quot;Kg&quot;\ "/>
    <numFmt numFmtId="262" formatCode="&quot;$&quot;#,##0.00\ &quot;/ml&quot;"/>
    <numFmt numFmtId="263" formatCode="0.0\ &quot;L/Ha&quot;"/>
    <numFmt numFmtId="264" formatCode="&quot;$&quot;#,##0.0&quot;/Ha&quot;"/>
    <numFmt numFmtId="265" formatCode="[$$-80A]#,##0.0;[Red]\-[$$-80A]#,##0.0"/>
    <numFmt numFmtId="266" formatCode="&quot;S-&quot;0&quot;/23&quot;"/>
    <numFmt numFmtId="267" formatCode="#,##0.0000\ &quot;Kg&quot;"/>
    <numFmt numFmtId="268" formatCode="0.00\ &quot;Kg&quot;"/>
    <numFmt numFmtId="269" formatCode="0.0&quot;ml/arb&quot;"/>
    <numFmt numFmtId="270" formatCode="0.00\ &quot;Ton&quot;"/>
    <numFmt numFmtId="271" formatCode="#,##0\ &quot;Kg&quot;"/>
    <numFmt numFmtId="272" formatCode="#,##0\ &quot;m2&quot;"/>
    <numFmt numFmtId="273" formatCode="&quot;$&quot;#,##0"/>
    <numFmt numFmtId="274" formatCode="0.0&quot; ml/arb&quot;"/>
    <numFmt numFmtId="275" formatCode="0.0&quot; Kg/arb&quot;"/>
    <numFmt numFmtId="276" formatCode="#,##0.0\ &quot;Pz&quot;"/>
    <numFmt numFmtId="277" formatCode="&quot;$&quot;#,##0.00&quot;/kg&quot;"/>
    <numFmt numFmtId="278" formatCode="&quot;$&quot;#,##0.00&quot;/Kg&quot;"/>
    <numFmt numFmtId="279" formatCode="0.000000000000"/>
  </numFmts>
  <fonts count="11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name val="Arial"/>
      <family val="2"/>
    </font>
    <font>
      <u/>
      <sz val="11"/>
      <color theme="10"/>
      <name val="Calibri"/>
      <family val="2"/>
    </font>
    <font>
      <sz val="11"/>
      <color indexed="8"/>
      <name val="Calibri"/>
      <family val="2"/>
    </font>
    <font>
      <sz val="12"/>
      <name val="Courier"/>
      <family val="3"/>
    </font>
    <font>
      <sz val="10"/>
      <color indexed="8"/>
      <name val="Arial"/>
      <family val="2"/>
    </font>
    <font>
      <sz val="11"/>
      <color theme="1"/>
      <name val="Cambria"/>
      <family val="1"/>
    </font>
    <font>
      <b/>
      <sz val="11"/>
      <color rgb="FFFF0000"/>
      <name val="Cambria"/>
      <family val="1"/>
    </font>
    <font>
      <b/>
      <sz val="11"/>
      <color theme="1"/>
      <name val="Cambria"/>
      <family val="1"/>
    </font>
    <font>
      <sz val="11"/>
      <name val="Cambria"/>
      <family val="1"/>
    </font>
    <font>
      <b/>
      <vertAlign val="subscript"/>
      <sz val="11"/>
      <color theme="1"/>
      <name val="Cambria"/>
      <family val="1"/>
    </font>
    <font>
      <sz val="11"/>
      <color rgb="FFFF0000"/>
      <name val="Cambria"/>
      <family val="1"/>
    </font>
    <font>
      <sz val="11"/>
      <color rgb="FFC00000"/>
      <name val="Cambria"/>
      <family val="1"/>
    </font>
    <font>
      <sz val="10"/>
      <color theme="1"/>
      <name val="Cambria"/>
      <family val="1"/>
    </font>
    <font>
      <sz val="9"/>
      <color theme="1"/>
      <name val="Cambria"/>
      <family val="1"/>
    </font>
    <font>
      <sz val="11"/>
      <color theme="1"/>
      <name val="Cambria"/>
      <family val="1"/>
      <scheme val="major"/>
    </font>
    <font>
      <b/>
      <sz val="11"/>
      <color theme="1"/>
      <name val="Cambria"/>
      <family val="1"/>
      <scheme val="major"/>
    </font>
    <font>
      <b/>
      <sz val="11"/>
      <color rgb="FFFF0000"/>
      <name val="Cambria"/>
      <family val="1"/>
      <scheme val="major"/>
    </font>
    <font>
      <sz val="11"/>
      <name val="Cambria"/>
      <family val="1"/>
      <scheme val="major"/>
    </font>
    <font>
      <sz val="11"/>
      <color rgb="FFFF0000"/>
      <name val="Cambria"/>
      <family val="1"/>
      <scheme val="major"/>
    </font>
    <font>
      <b/>
      <sz val="11"/>
      <name val="Cambria"/>
      <family val="1"/>
      <scheme val="major"/>
    </font>
    <font>
      <sz val="8"/>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2"/>
      <color theme="1"/>
      <name val="Calibri"/>
      <family val="2"/>
      <scheme val="minor"/>
    </font>
    <font>
      <sz val="11"/>
      <name val="Calibri"/>
      <family val="2"/>
      <scheme val="minor"/>
    </font>
    <font>
      <sz val="8"/>
      <color indexed="81"/>
      <name val="Tahoma"/>
      <family val="2"/>
    </font>
    <font>
      <sz val="11"/>
      <color theme="0"/>
      <name val="Calibri"/>
      <family val="2"/>
      <scheme val="minor"/>
    </font>
    <font>
      <b/>
      <sz val="11"/>
      <color theme="0"/>
      <name val="Calibri"/>
      <family val="2"/>
      <scheme val="minor"/>
    </font>
    <font>
      <b/>
      <sz val="11"/>
      <name val="Calibri"/>
      <family val="2"/>
      <scheme val="minor"/>
    </font>
    <font>
      <sz val="11"/>
      <color theme="1"/>
      <name val="Arial"/>
      <family val="2"/>
    </font>
    <font>
      <sz val="11"/>
      <color theme="1"/>
      <name val="Calibri"/>
      <family val="2"/>
    </font>
    <font>
      <sz val="12"/>
      <color theme="1"/>
      <name val="Calibri"/>
      <family val="2"/>
    </font>
    <font>
      <b/>
      <sz val="11"/>
      <color theme="1"/>
      <name val="Calibri"/>
      <family val="2"/>
    </font>
    <font>
      <sz val="11"/>
      <name val="Calibri"/>
      <family val="2"/>
    </font>
    <font>
      <b/>
      <sz val="11"/>
      <color rgb="FFFF0000"/>
      <name val="Calibri"/>
      <family val="2"/>
    </font>
    <font>
      <b/>
      <sz val="11"/>
      <name val="Calibri"/>
      <family val="2"/>
    </font>
    <font>
      <sz val="11"/>
      <color rgb="FFFF0000"/>
      <name val="Calibri"/>
      <family val="2"/>
    </font>
    <font>
      <b/>
      <u/>
      <sz val="11"/>
      <color rgb="FFFFFF00"/>
      <name val="Calibri"/>
      <family val="2"/>
      <scheme val="minor"/>
    </font>
    <font>
      <b/>
      <sz val="11"/>
      <color rgb="FFFFFF00"/>
      <name val="Calibri"/>
      <family val="2"/>
      <scheme val="minor"/>
    </font>
    <font>
      <b/>
      <sz val="12"/>
      <color theme="1"/>
      <name val="Calibri"/>
      <family val="2"/>
    </font>
    <font>
      <b/>
      <vertAlign val="superscript"/>
      <sz val="11"/>
      <color theme="1"/>
      <name val="Calibri"/>
      <family val="2"/>
      <scheme val="minor"/>
    </font>
    <font>
      <sz val="11"/>
      <color theme="0"/>
      <name val="Cambria"/>
      <family val="1"/>
      <scheme val="major"/>
    </font>
    <font>
      <b/>
      <sz val="8"/>
      <color indexed="81"/>
      <name val="Cambria"/>
      <family val="1"/>
      <scheme val="major"/>
    </font>
    <font>
      <sz val="8"/>
      <color indexed="81"/>
      <name val="Cambria"/>
      <family val="1"/>
      <scheme val="major"/>
    </font>
    <font>
      <sz val="9"/>
      <color indexed="81"/>
      <name val="Times New Roman"/>
      <family val="1"/>
    </font>
    <font>
      <sz val="9"/>
      <color indexed="81"/>
      <name val="Cambria"/>
      <family val="1"/>
      <scheme val="major"/>
    </font>
    <font>
      <b/>
      <sz val="8"/>
      <color indexed="81"/>
      <name val="Tahoma"/>
      <family val="2"/>
    </font>
    <font>
      <i/>
      <sz val="11"/>
      <color theme="1"/>
      <name val="Cambria"/>
      <family val="1"/>
      <scheme val="major"/>
    </font>
    <font>
      <b/>
      <sz val="12"/>
      <color rgb="FFFF0000"/>
      <name val="Cambria"/>
      <family val="1"/>
      <scheme val="major"/>
    </font>
    <font>
      <b/>
      <sz val="12"/>
      <color theme="0"/>
      <name val="Cambria"/>
      <family val="1"/>
      <scheme val="major"/>
    </font>
    <font>
      <b/>
      <sz val="10"/>
      <color rgb="FFFF0000"/>
      <name val="Cambria"/>
      <family val="1"/>
      <scheme val="major"/>
    </font>
    <font>
      <sz val="10"/>
      <color rgb="FFFF0000"/>
      <name val="Cambria"/>
      <family val="1"/>
      <scheme val="major"/>
    </font>
    <font>
      <b/>
      <vertAlign val="subscript"/>
      <sz val="11"/>
      <color theme="1"/>
      <name val="Cambria"/>
      <family val="1"/>
      <scheme val="major"/>
    </font>
    <font>
      <sz val="11"/>
      <color rgb="FFFF3300"/>
      <name val="Cambria"/>
      <family val="1"/>
      <scheme val="major"/>
    </font>
    <font>
      <b/>
      <sz val="12"/>
      <color theme="1"/>
      <name val="Cambria"/>
      <family val="1"/>
      <scheme val="major"/>
    </font>
    <font>
      <sz val="11"/>
      <color rgb="FFC00000"/>
      <name val="Calibri"/>
      <family val="2"/>
      <scheme val="minor"/>
    </font>
    <font>
      <b/>
      <sz val="14"/>
      <color rgb="FFC00000"/>
      <name val="Calibri"/>
      <family val="2"/>
      <scheme val="minor"/>
    </font>
    <font>
      <sz val="11"/>
      <color theme="4" tint="-0.499984740745262"/>
      <name val="Calibri"/>
      <family val="2"/>
      <scheme val="minor"/>
    </font>
    <font>
      <b/>
      <sz val="11"/>
      <color rgb="FFC00000"/>
      <name val="Cambria"/>
      <family val="1"/>
      <scheme val="major"/>
    </font>
    <font>
      <b/>
      <sz val="11"/>
      <color indexed="81"/>
      <name val="Tahoma"/>
      <family val="2"/>
    </font>
    <font>
      <sz val="11"/>
      <color indexed="81"/>
      <name val="Tahoma"/>
      <family val="2"/>
    </font>
    <font>
      <b/>
      <sz val="12"/>
      <color rgb="FFFF66CC"/>
      <name val="Calibri"/>
      <family val="2"/>
      <scheme val="minor"/>
    </font>
    <font>
      <b/>
      <sz val="12"/>
      <color rgb="FFFF0000"/>
      <name val="Calibri"/>
      <family val="2"/>
      <scheme val="minor"/>
    </font>
    <font>
      <sz val="14"/>
      <color theme="1"/>
      <name val="Calibri"/>
      <family val="2"/>
      <scheme val="minor"/>
    </font>
    <font>
      <b/>
      <sz val="14"/>
      <color theme="1"/>
      <name val="Calibri"/>
      <family val="2"/>
      <scheme val="minor"/>
    </font>
    <font>
      <b/>
      <sz val="22"/>
      <color rgb="FFFF0000"/>
      <name val="Calibri"/>
      <family val="2"/>
      <scheme val="minor"/>
    </font>
    <font>
      <b/>
      <u/>
      <sz val="22"/>
      <name val="Calibri"/>
      <family val="2"/>
      <scheme val="minor"/>
    </font>
    <font>
      <sz val="18"/>
      <color theme="1"/>
      <name val="Calibri"/>
      <family val="2"/>
      <scheme val="minor"/>
    </font>
    <font>
      <b/>
      <sz val="22"/>
      <name val="Calibri"/>
      <family val="2"/>
      <scheme val="minor"/>
    </font>
    <font>
      <sz val="11"/>
      <name val="Aptos Narrow"/>
      <family val="2"/>
    </font>
    <font>
      <b/>
      <sz val="11"/>
      <name val="Aptos Narrow"/>
      <family val="2"/>
    </font>
    <font>
      <sz val="11"/>
      <color theme="0"/>
      <name val="Aptos Narrow"/>
      <family val="2"/>
    </font>
    <font>
      <sz val="11"/>
      <color theme="1"/>
      <name val="Aptos Narrow"/>
      <family val="2"/>
    </font>
    <font>
      <b/>
      <sz val="11"/>
      <color theme="1"/>
      <name val="Aptos Narrow"/>
      <family val="2"/>
    </font>
    <font>
      <b/>
      <sz val="11"/>
      <color theme="0"/>
      <name val="Aptos Narrow"/>
      <family val="2"/>
    </font>
    <font>
      <b/>
      <sz val="11"/>
      <color rgb="FFFFF571"/>
      <name val="Aptos Narrow"/>
      <family val="2"/>
    </font>
    <font>
      <b/>
      <sz val="11"/>
      <color rgb="FFFF0000"/>
      <name val="Aptos Narrow"/>
      <family val="2"/>
    </font>
    <font>
      <sz val="10"/>
      <color theme="1"/>
      <name val="Aptos Narrow"/>
      <family val="2"/>
    </font>
    <font>
      <sz val="11"/>
      <color rgb="FFFF3300"/>
      <name val="Aptos Narrow"/>
      <family val="2"/>
    </font>
    <font>
      <sz val="11"/>
      <color rgb="FFFF0000"/>
      <name val="Aptos Narrow"/>
      <family val="2"/>
    </font>
    <font>
      <i/>
      <sz val="11"/>
      <name val="Aptos Narrow"/>
      <family val="2"/>
    </font>
    <font>
      <sz val="11"/>
      <color rgb="FF0070C0"/>
      <name val="Aptos Narrow"/>
      <family val="2"/>
    </font>
    <font>
      <sz val="11"/>
      <color theme="0"/>
      <name val="Calibri"/>
      <family val="2"/>
    </font>
    <font>
      <b/>
      <sz val="11"/>
      <color rgb="FFC00000"/>
      <name val="Calibri"/>
      <family val="2"/>
    </font>
    <font>
      <sz val="11"/>
      <color rgb="FFFF3300"/>
      <name val="Calibri"/>
      <family val="2"/>
      <scheme val="minor"/>
    </font>
    <font>
      <sz val="10"/>
      <color theme="1"/>
      <name val="Calibri"/>
      <family val="2"/>
      <scheme val="minor"/>
    </font>
    <font>
      <b/>
      <sz val="10"/>
      <color theme="1"/>
      <name val="Cambria"/>
      <family val="1"/>
      <scheme val="major"/>
    </font>
    <font>
      <sz val="10"/>
      <color theme="1"/>
      <name val="Calibri"/>
      <family val="2"/>
    </font>
    <font>
      <b/>
      <sz val="10"/>
      <name val="Cambria"/>
      <family val="1"/>
      <scheme val="major"/>
    </font>
    <font>
      <b/>
      <sz val="11"/>
      <color rgb="FFC00000"/>
      <name val="Calibri"/>
      <family val="2"/>
      <scheme val="minor"/>
    </font>
    <font>
      <i/>
      <sz val="11"/>
      <color theme="1"/>
      <name val="Calibri"/>
      <family val="2"/>
      <scheme val="minor"/>
    </font>
    <font>
      <sz val="11"/>
      <color rgb="FFC00000"/>
      <name val="Calibri"/>
      <family val="2"/>
    </font>
    <font>
      <b/>
      <sz val="10"/>
      <color theme="1"/>
      <name val="Calibri"/>
      <family val="2"/>
      <scheme val="minor"/>
    </font>
    <font>
      <b/>
      <sz val="12"/>
      <name val="Cambria"/>
      <family val="1"/>
      <scheme val="major"/>
    </font>
    <font>
      <sz val="12"/>
      <color rgb="FFFF0000"/>
      <name val="Cambria"/>
      <family val="1"/>
      <scheme val="major"/>
    </font>
    <font>
      <sz val="12"/>
      <color theme="1"/>
      <name val="Cambria"/>
      <family val="1"/>
      <scheme val="major"/>
    </font>
    <font>
      <sz val="12"/>
      <color theme="1"/>
      <name val="Calibri"/>
      <family val="2"/>
      <scheme val="minor"/>
    </font>
    <font>
      <b/>
      <sz val="11"/>
      <color theme="0" tint="-4.9989318521683403E-2"/>
      <name val="Calibri"/>
      <family val="2"/>
      <scheme val="minor"/>
    </font>
    <font>
      <sz val="9"/>
      <color theme="1"/>
      <name val="Calibri"/>
      <family val="2"/>
      <scheme val="minor"/>
    </font>
    <font>
      <b/>
      <sz val="9"/>
      <name val="Calibri"/>
      <family val="2"/>
      <scheme val="minor"/>
    </font>
    <font>
      <b/>
      <sz val="14"/>
      <color theme="1"/>
      <name val="Calibri"/>
      <family val="2"/>
    </font>
    <font>
      <sz val="14"/>
      <color theme="1"/>
      <name val="Calibri"/>
      <family val="2"/>
    </font>
    <font>
      <sz val="14"/>
      <color rgb="FFC00000"/>
      <name val="Calibri"/>
      <family val="2"/>
      <scheme val="minor"/>
    </font>
    <font>
      <b/>
      <sz val="14"/>
      <color rgb="FFFF0000"/>
      <name val="Calibri"/>
      <family val="2"/>
      <scheme val="minor"/>
    </font>
    <font>
      <b/>
      <sz val="11"/>
      <color theme="1"/>
      <name val="Aptos Narrow"/>
    </font>
    <font>
      <b/>
      <sz val="16"/>
      <name val="Calibri"/>
      <family val="2"/>
      <scheme val="minor"/>
    </font>
  </fonts>
  <fills count="56">
    <fill>
      <patternFill patternType="none"/>
    </fill>
    <fill>
      <patternFill patternType="gray125"/>
    </fill>
    <fill>
      <patternFill patternType="solid">
        <fgColor rgb="FFFFFF00"/>
        <bgColor indexed="64"/>
      </patternFill>
    </fill>
    <fill>
      <patternFill patternType="solid">
        <fgColor indexed="26"/>
      </patternFill>
    </fill>
    <fill>
      <patternFill patternType="solid">
        <fgColor theme="0"/>
        <bgColor indexed="64"/>
      </patternFill>
    </fill>
    <fill>
      <patternFill patternType="solid">
        <fgColor rgb="FFCCFF66"/>
        <bgColor indexed="64"/>
      </patternFill>
    </fill>
    <fill>
      <patternFill patternType="solid">
        <fgColor theme="8" tint="0.39997558519241921"/>
        <bgColor indexed="64"/>
      </patternFill>
    </fill>
    <fill>
      <patternFill patternType="solid">
        <fgColor rgb="FF99FF99"/>
        <bgColor indexed="64"/>
      </patternFill>
    </fill>
    <fill>
      <patternFill patternType="solid">
        <fgColor rgb="FFCCCC00"/>
        <bgColor indexed="64"/>
      </patternFill>
    </fill>
    <fill>
      <patternFill patternType="solid">
        <fgColor rgb="FF92D050"/>
        <bgColor indexed="64"/>
      </patternFill>
    </fill>
    <fill>
      <patternFill patternType="solid">
        <fgColor rgb="FFFFC000"/>
        <bgColor indexed="64"/>
      </patternFill>
    </fill>
    <fill>
      <patternFill patternType="solid">
        <fgColor rgb="FF99FF66"/>
        <bgColor indexed="64"/>
      </patternFill>
    </fill>
    <fill>
      <patternFill patternType="solid">
        <fgColor rgb="FFFFFFCC"/>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66FF"/>
        <bgColor indexed="64"/>
      </patternFill>
    </fill>
    <fill>
      <patternFill patternType="solid">
        <fgColor rgb="FF00B0F0"/>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499984740745262"/>
        <bgColor indexed="64"/>
      </patternFill>
    </fill>
    <fill>
      <patternFill patternType="solid">
        <fgColor theme="7" tint="0.39997558519241921"/>
        <bgColor indexed="64"/>
      </patternFill>
    </fill>
    <fill>
      <patternFill patternType="solid">
        <fgColor rgb="FFFFFF99"/>
        <bgColor indexed="64"/>
      </patternFill>
    </fill>
    <fill>
      <patternFill patternType="solid">
        <fgColor rgb="FFFF0000"/>
        <bgColor indexed="64"/>
      </patternFill>
    </fill>
    <fill>
      <patternFill patternType="solid">
        <fgColor rgb="FF66FF33"/>
        <bgColor indexed="64"/>
      </patternFill>
    </fill>
    <fill>
      <patternFill patternType="solid">
        <fgColor theme="3" tint="0.59999389629810485"/>
        <bgColor indexed="64"/>
      </patternFill>
    </fill>
    <fill>
      <patternFill patternType="solid">
        <fgColor theme="1"/>
        <bgColor indexed="64"/>
      </patternFill>
    </fill>
    <fill>
      <patternFill patternType="solid">
        <fgColor theme="6"/>
        <bgColor indexed="64"/>
      </patternFill>
    </fill>
    <fill>
      <patternFill patternType="solid">
        <fgColor rgb="FF66FF66"/>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rgb="FFFF99FF"/>
        <bgColor indexed="64"/>
      </patternFill>
    </fill>
    <fill>
      <patternFill patternType="solid">
        <fgColor rgb="FF5BD4FF"/>
        <bgColor indexed="64"/>
      </patternFill>
    </fill>
    <fill>
      <patternFill patternType="solid">
        <fgColor theme="0" tint="-0.14999847407452621"/>
        <bgColor theme="0" tint="-0.14999847407452621"/>
      </patternFill>
    </fill>
    <fill>
      <patternFill patternType="solid">
        <fgColor theme="5"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rgb="FFFFFF66"/>
        <bgColor indexed="64"/>
      </patternFill>
    </fill>
    <fill>
      <patternFill patternType="solid">
        <fgColor rgb="FFFFF571"/>
        <bgColor indexed="64"/>
      </patternFill>
    </fill>
    <fill>
      <patternFill patternType="solid">
        <fgColor theme="1" tint="0.14999847407452621"/>
        <bgColor indexed="64"/>
      </patternFill>
    </fill>
    <fill>
      <patternFill patternType="solid">
        <fgColor rgb="FFCCFF33"/>
        <bgColor indexed="64"/>
      </patternFill>
    </fill>
    <fill>
      <patternFill patternType="solid">
        <fgColor rgb="FFFDE9D9"/>
        <bgColor rgb="FFFDE9D9"/>
      </patternFill>
    </fill>
    <fill>
      <patternFill patternType="solid">
        <fgColor rgb="FFCCECFF"/>
        <bgColor rgb="FFCCECFF"/>
      </patternFill>
    </fill>
    <fill>
      <patternFill patternType="solid">
        <fgColor rgb="FFFFFF99"/>
        <bgColor rgb="FFFFFF99"/>
      </patternFill>
    </fill>
    <fill>
      <patternFill patternType="solid">
        <fgColor rgb="FFFFFF99"/>
        <bgColor rgb="FFCCECFF"/>
      </patternFill>
    </fill>
    <fill>
      <patternFill patternType="solid">
        <fgColor theme="0" tint="-0.34998626667073579"/>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6666FF"/>
        <bgColor indexed="64"/>
      </patternFill>
    </fill>
    <fill>
      <patternFill patternType="solid">
        <fgColor rgb="FFCCFF99"/>
        <bgColor indexed="64"/>
      </patternFill>
    </fill>
    <fill>
      <patternFill patternType="solid">
        <fgColor rgb="FFFF99CC"/>
        <bgColor indexed="64"/>
      </patternFill>
    </fill>
    <fill>
      <patternFill patternType="solid">
        <fgColor rgb="FFFF33CC"/>
        <bgColor indexed="64"/>
      </patternFill>
    </fill>
    <fill>
      <patternFill patternType="solid">
        <fgColor theme="5" tint="0.39997558519241921"/>
        <bgColor indexed="64"/>
      </patternFill>
    </fill>
    <fill>
      <patternFill patternType="solid">
        <fgColor rgb="FFFF6600"/>
        <bgColor indexed="64"/>
      </patternFill>
    </fill>
  </fills>
  <borders count="165">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auto="1"/>
      </right>
      <top style="medium">
        <color indexed="64"/>
      </top>
      <bottom style="thin">
        <color auto="1"/>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1"/>
      </left>
      <right style="thin">
        <color theme="1"/>
      </right>
      <top/>
      <bottom style="thin">
        <color theme="1"/>
      </bottom>
      <diagonal/>
    </border>
    <border>
      <left style="thin">
        <color theme="1"/>
      </left>
      <right style="thin">
        <color theme="1"/>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style="double">
        <color indexed="64"/>
      </bottom>
      <diagonal/>
    </border>
    <border>
      <left style="thin">
        <color auto="1"/>
      </left>
      <right style="thin">
        <color auto="1"/>
      </right>
      <top style="thin">
        <color auto="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theme="1"/>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5"/>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medium">
        <color indexed="64"/>
      </left>
      <right style="thin">
        <color theme="2" tint="-0.249977111117893"/>
      </right>
      <top style="medium">
        <color indexed="64"/>
      </top>
      <bottom style="thin">
        <color theme="2" tint="-0.249977111117893"/>
      </bottom>
      <diagonal/>
    </border>
    <border>
      <left style="thin">
        <color theme="2" tint="-0.249977111117893"/>
      </left>
      <right style="thin">
        <color theme="2" tint="-0.249977111117893"/>
      </right>
      <top style="medium">
        <color indexed="64"/>
      </top>
      <bottom style="thin">
        <color theme="2" tint="-0.249977111117893"/>
      </bottom>
      <diagonal/>
    </border>
    <border>
      <left style="thin">
        <color theme="2" tint="-0.249977111117893"/>
      </left>
      <right style="medium">
        <color indexed="64"/>
      </right>
      <top style="medium">
        <color indexed="64"/>
      </top>
      <bottom style="thin">
        <color theme="2" tint="-0.249977111117893"/>
      </bottom>
      <diagonal/>
    </border>
    <border>
      <left style="medium">
        <color indexed="64"/>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medium">
        <color indexed="64"/>
      </right>
      <top style="thin">
        <color theme="2" tint="-0.249977111117893"/>
      </top>
      <bottom style="thin">
        <color theme="2" tint="-0.249977111117893"/>
      </bottom>
      <diagonal/>
    </border>
    <border>
      <left style="medium">
        <color indexed="64"/>
      </left>
      <right style="thin">
        <color theme="2" tint="-0.249977111117893"/>
      </right>
      <top style="thin">
        <color theme="2" tint="-0.249977111117893"/>
      </top>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medium">
        <color indexed="64"/>
      </right>
      <top style="thin">
        <color theme="2" tint="-0.249977111117893"/>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2" tint="-0.249977111117893"/>
      </right>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style="medium">
        <color indexed="64"/>
      </right>
      <top/>
      <bottom style="thin">
        <color theme="2" tint="-0.249977111117893"/>
      </bottom>
      <diagonal/>
    </border>
    <border>
      <left style="medium">
        <color indexed="64"/>
      </left>
      <right style="thin">
        <color theme="2" tint="-0.249977111117893"/>
      </right>
      <top style="medium">
        <color indexed="64"/>
      </top>
      <bottom style="medium">
        <color indexed="64"/>
      </bottom>
      <diagonal/>
    </border>
    <border>
      <left style="thin">
        <color theme="2" tint="-0.249977111117893"/>
      </left>
      <right style="thin">
        <color theme="2" tint="-0.249977111117893"/>
      </right>
      <top style="medium">
        <color indexed="64"/>
      </top>
      <bottom style="medium">
        <color indexed="64"/>
      </bottom>
      <diagonal/>
    </border>
    <border>
      <left style="thin">
        <color theme="2" tint="-0.249977111117893"/>
      </left>
      <right style="medium">
        <color indexed="64"/>
      </right>
      <top style="medium">
        <color indexed="64"/>
      </top>
      <bottom style="medium">
        <color indexed="64"/>
      </bottom>
      <diagonal/>
    </border>
    <border>
      <left style="medium">
        <color indexed="64"/>
      </left>
      <right/>
      <top style="medium">
        <color indexed="64"/>
      </top>
      <bottom style="thin">
        <color theme="2" tint="-0.249977111117893"/>
      </bottom>
      <diagonal/>
    </border>
    <border>
      <left/>
      <right style="thin">
        <color theme="2" tint="-0.249977111117893"/>
      </right>
      <top style="medium">
        <color indexed="64"/>
      </top>
      <bottom style="thin">
        <color theme="2" tint="-0.249977111117893"/>
      </bottom>
      <diagonal/>
    </border>
    <border>
      <left style="thin">
        <color theme="2" tint="-0.249977111117893"/>
      </left>
      <right/>
      <top style="medium">
        <color indexed="64"/>
      </top>
      <bottom style="thin">
        <color theme="2" tint="-0.249977111117893"/>
      </bottom>
      <diagonal/>
    </border>
    <border>
      <left/>
      <right/>
      <top style="medium">
        <color indexed="64"/>
      </top>
      <bottom style="thin">
        <color theme="2" tint="-0.249977111117893"/>
      </bottom>
      <diagonal/>
    </border>
    <border>
      <left/>
      <right style="medium">
        <color indexed="64"/>
      </right>
      <top style="medium">
        <color indexed="64"/>
      </top>
      <bottom style="thin">
        <color theme="2" tint="-0.249977111117893"/>
      </bottom>
      <diagonal/>
    </border>
    <border>
      <left style="medium">
        <color indexed="64"/>
      </left>
      <right style="thin">
        <color theme="2" tint="-0.249977111117893"/>
      </right>
      <top style="thin">
        <color theme="2" tint="-0.249977111117893"/>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2" tint="-0.249977111117893"/>
      </left>
      <right style="medium">
        <color indexed="64"/>
      </right>
      <top style="thin">
        <color theme="2" tint="-0.249977111117893"/>
      </top>
      <bottom style="medium">
        <color indexed="64"/>
      </bottom>
      <diagonal/>
    </border>
    <border>
      <left style="medium">
        <color indexed="64"/>
      </left>
      <right/>
      <top/>
      <bottom style="thin">
        <color indexed="64"/>
      </bottom>
      <diagonal/>
    </border>
    <border>
      <left/>
      <right/>
      <top/>
      <bottom style="thin">
        <color auto="1"/>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medium">
        <color auto="1"/>
      </left>
      <right/>
      <top style="thin">
        <color indexed="64"/>
      </top>
      <bottom style="medium">
        <color indexed="64"/>
      </bottom>
      <diagonal/>
    </border>
    <border>
      <left/>
      <right/>
      <top style="thin">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double">
        <color indexed="64"/>
      </top>
      <bottom style="double">
        <color indexed="64"/>
      </bottom>
      <diagonal/>
    </border>
    <border>
      <left/>
      <right/>
      <top style="double">
        <color indexed="64"/>
      </top>
      <bottom style="thin">
        <color indexed="64"/>
      </bottom>
      <diagonal/>
    </border>
    <border>
      <left/>
      <right/>
      <top style="double">
        <color indexed="64"/>
      </top>
      <bottom/>
      <diagonal/>
    </border>
    <border>
      <left/>
      <right/>
      <top style="thin">
        <color auto="1"/>
      </top>
      <bottom/>
      <diagonal/>
    </border>
    <border>
      <left/>
      <right/>
      <top style="thin">
        <color auto="1"/>
      </top>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auto="1"/>
      </right>
      <top style="thin">
        <color auto="1"/>
      </top>
      <bottom/>
      <diagonal/>
    </border>
    <border>
      <left style="thin">
        <color indexed="64"/>
      </left>
      <right/>
      <top style="thin">
        <color indexed="64"/>
      </top>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medium">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style="medium">
        <color indexed="64"/>
      </bottom>
      <diagonal/>
    </border>
    <border>
      <left style="medium">
        <color indexed="64"/>
      </left>
      <right style="thin">
        <color auto="1"/>
      </right>
      <top style="double">
        <color indexed="64"/>
      </top>
      <bottom style="medium">
        <color indexed="64"/>
      </bottom>
      <diagonal/>
    </border>
    <border>
      <left style="thin">
        <color auto="1"/>
      </left>
      <right style="thin">
        <color auto="1"/>
      </right>
      <top style="double">
        <color indexed="64"/>
      </top>
      <bottom style="medium">
        <color indexed="64"/>
      </bottom>
      <diagonal/>
    </border>
    <border>
      <left style="thin">
        <color auto="1"/>
      </left>
      <right style="medium">
        <color indexed="64"/>
      </right>
      <top style="double">
        <color indexed="64"/>
      </top>
      <bottom style="medium">
        <color indexed="64"/>
      </bottom>
      <diagonal/>
    </border>
  </borders>
  <cellStyleXfs count="214">
    <xf numFmtId="0" fontId="0" fillId="0" borderId="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5" fillId="0" borderId="0" applyNumberFormat="0" applyFill="0" applyBorder="0" applyAlignment="0" applyProtection="0">
      <alignment vertical="top"/>
      <protection locked="0"/>
    </xf>
    <xf numFmtId="166" fontId="4"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4" fillId="0" borderId="0" applyFont="0" applyFill="0" applyBorder="0" applyAlignment="0" applyProtection="0"/>
    <xf numFmtId="166" fontId="6"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4"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4" fillId="0" borderId="0" applyFont="0" applyFill="0" applyBorder="0" applyAlignment="0" applyProtection="0"/>
    <xf numFmtId="166" fontId="6" fillId="0" borderId="0" applyFont="0" applyFill="0" applyBorder="0" applyAlignment="0" applyProtection="0"/>
    <xf numFmtId="166" fontId="1"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6" fontId="6"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7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170" fontId="7" fillId="0" borderId="0"/>
    <xf numFmtId="0" fontId="6" fillId="0" borderId="0"/>
    <xf numFmtId="0" fontId="6" fillId="0" borderId="0"/>
    <xf numFmtId="0" fontId="4" fillId="0" borderId="0"/>
    <xf numFmtId="0" fontId="6" fillId="0" borderId="0"/>
    <xf numFmtId="170" fontId="7" fillId="0" borderId="0"/>
    <xf numFmtId="0" fontId="6" fillId="0" borderId="0"/>
    <xf numFmtId="0" fontId="6" fillId="0" borderId="0"/>
    <xf numFmtId="0" fontId="6" fillId="0" borderId="0"/>
    <xf numFmtId="0" fontId="6" fillId="0" borderId="0"/>
    <xf numFmtId="170" fontId="7" fillId="0" borderId="0"/>
    <xf numFmtId="0" fontId="6" fillId="0" borderId="0"/>
    <xf numFmtId="0" fontId="1"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0" fontId="6" fillId="3" borderId="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34" fillId="0" borderId="0"/>
    <xf numFmtId="43" fontId="1" fillId="0" borderId="0" applyFont="0" applyFill="0" applyBorder="0" applyAlignment="0" applyProtection="0"/>
    <xf numFmtId="44" fontId="1" fillId="0" borderId="0" applyFont="0" applyFill="0" applyBorder="0" applyAlignment="0" applyProtection="0"/>
    <xf numFmtId="0" fontId="1" fillId="0" borderId="0"/>
  </cellStyleXfs>
  <cellXfs count="1917">
    <xf numFmtId="0" fontId="0" fillId="0" borderId="0" xfId="0"/>
    <xf numFmtId="0" fontId="9" fillId="0" borderId="0" xfId="0" applyFont="1"/>
    <xf numFmtId="0" fontId="9"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right" vertical="center"/>
    </xf>
    <xf numFmtId="0" fontId="9" fillId="0" borderId="0" xfId="0" applyFont="1" applyAlignment="1">
      <alignment vertical="center"/>
    </xf>
    <xf numFmtId="3" fontId="9" fillId="0" borderId="0" xfId="0" applyNumberFormat="1" applyFont="1" applyAlignment="1">
      <alignment horizontal="center" vertical="center"/>
    </xf>
    <xf numFmtId="0" fontId="9" fillId="0" borderId="2" xfId="0" applyFont="1" applyBorder="1" applyAlignment="1">
      <alignment horizontal="centerContinuous" vertical="center"/>
    </xf>
    <xf numFmtId="178" fontId="9" fillId="0" borderId="2" xfId="0" applyNumberFormat="1" applyFont="1" applyBorder="1" applyAlignment="1">
      <alignment horizontal="centerContinuous" vertical="center"/>
    </xf>
    <xf numFmtId="178" fontId="11" fillId="0" borderId="2" xfId="0" applyNumberFormat="1" applyFont="1" applyBorder="1" applyAlignment="1">
      <alignment horizontal="centerContinuous" vertical="center"/>
    </xf>
    <xf numFmtId="0" fontId="14" fillId="0" borderId="30" xfId="0" applyFont="1" applyBorder="1" applyAlignment="1">
      <alignment horizontal="center" vertical="center"/>
    </xf>
    <xf numFmtId="182" fontId="9" fillId="0" borderId="30" xfId="0" applyNumberFormat="1" applyFont="1" applyBorder="1" applyAlignment="1">
      <alignment horizontal="center" vertical="center"/>
    </xf>
    <xf numFmtId="180" fontId="9" fillId="0" borderId="30" xfId="0" applyNumberFormat="1" applyFont="1" applyBorder="1" applyAlignment="1">
      <alignment horizontal="center" vertical="center"/>
    </xf>
    <xf numFmtId="181" fontId="11" fillId="0" borderId="30" xfId="0" applyNumberFormat="1" applyFont="1" applyBorder="1" applyAlignment="1">
      <alignment horizontal="centerContinuous" vertical="center"/>
    </xf>
    <xf numFmtId="0" fontId="9" fillId="0" borderId="30" xfId="0" applyFont="1" applyBorder="1" applyAlignment="1">
      <alignment horizontal="centerContinuous" vertical="center"/>
    </xf>
    <xf numFmtId="176" fontId="9" fillId="0" borderId="30" xfId="0" applyNumberFormat="1" applyFont="1" applyBorder="1" applyAlignment="1">
      <alignment horizontal="centerContinuous" vertical="center"/>
    </xf>
    <xf numFmtId="178" fontId="9" fillId="0" borderId="30" xfId="0" applyNumberFormat="1" applyFont="1" applyBorder="1" applyAlignment="1">
      <alignment horizontal="centerContinuous" vertical="center"/>
    </xf>
    <xf numFmtId="174" fontId="9" fillId="0" borderId="31" xfId="0" applyNumberFormat="1" applyFont="1" applyBorder="1" applyAlignment="1">
      <alignment horizontal="centerContinuous" vertical="center"/>
    </xf>
    <xf numFmtId="174" fontId="9" fillId="0" borderId="30" xfId="0" applyNumberFormat="1" applyFont="1" applyBorder="1" applyAlignment="1">
      <alignment horizontal="centerContinuous" vertical="center"/>
    </xf>
    <xf numFmtId="189" fontId="11" fillId="0" borderId="2" xfId="0" applyNumberFormat="1" applyFont="1" applyBorder="1" applyAlignment="1">
      <alignment horizontal="centerContinuous" vertical="center"/>
    </xf>
    <xf numFmtId="189" fontId="9" fillId="0" borderId="2" xfId="0" applyNumberFormat="1" applyFont="1" applyBorder="1" applyAlignment="1">
      <alignment horizontal="centerContinuous" vertical="center"/>
    </xf>
    <xf numFmtId="184" fontId="11" fillId="0" borderId="2" xfId="0" applyNumberFormat="1" applyFont="1" applyBorder="1" applyAlignment="1">
      <alignment horizontal="centerContinuous" vertical="center"/>
    </xf>
    <xf numFmtId="184" fontId="9" fillId="0" borderId="2" xfId="0" applyNumberFormat="1" applyFont="1" applyBorder="1" applyAlignment="1">
      <alignment horizontal="centerContinuous" vertical="center"/>
    </xf>
    <xf numFmtId="0" fontId="11" fillId="0" borderId="31" xfId="0" applyFont="1" applyBorder="1" applyAlignment="1">
      <alignment horizontal="centerContinuous" vertical="center"/>
    </xf>
    <xf numFmtId="0" fontId="11" fillId="0" borderId="30" xfId="0" applyFont="1" applyBorder="1" applyAlignment="1">
      <alignment horizontal="centerContinuous" vertical="center"/>
    </xf>
    <xf numFmtId="174" fontId="15" fillId="0" borderId="31" xfId="0" applyNumberFormat="1" applyFont="1" applyBorder="1" applyAlignment="1">
      <alignment horizontal="centerContinuous" vertical="center"/>
    </xf>
    <xf numFmtId="0" fontId="11" fillId="0" borderId="0" xfId="0" applyFont="1" applyAlignment="1">
      <alignment horizontal="right" vertical="center" wrapText="1"/>
    </xf>
    <xf numFmtId="0" fontId="9" fillId="0" borderId="0" xfId="0" applyFont="1" applyAlignment="1">
      <alignment horizontal="right" vertical="center"/>
    </xf>
    <xf numFmtId="188" fontId="9" fillId="0" borderId="31" xfId="207" applyNumberFormat="1" applyFont="1" applyBorder="1" applyAlignment="1">
      <alignment horizontal="centerContinuous" vertical="center"/>
    </xf>
    <xf numFmtId="0" fontId="9" fillId="0" borderId="3" xfId="0" applyFont="1" applyBorder="1" applyAlignment="1">
      <alignment horizontal="centerContinuous" vertical="center"/>
    </xf>
    <xf numFmtId="184" fontId="9" fillId="0" borderId="0" xfId="0" applyNumberFormat="1" applyFont="1" applyAlignment="1">
      <alignment vertical="center"/>
    </xf>
    <xf numFmtId="178" fontId="9" fillId="0" borderId="0" xfId="0" applyNumberFormat="1" applyFont="1" applyAlignment="1">
      <alignment vertical="center"/>
    </xf>
    <xf numFmtId="174" fontId="15" fillId="0" borderId="30" xfId="0" applyNumberFormat="1" applyFont="1" applyBorder="1" applyAlignment="1">
      <alignment horizontal="centerContinuous" vertical="center"/>
    </xf>
    <xf numFmtId="189" fontId="9" fillId="0" borderId="0" xfId="0" applyNumberFormat="1" applyFont="1" applyAlignment="1">
      <alignment vertical="center"/>
    </xf>
    <xf numFmtId="178" fontId="10" fillId="0" borderId="30" xfId="0" applyNumberFormat="1" applyFont="1" applyBorder="1" applyAlignment="1">
      <alignment horizontal="centerContinuous" vertical="center"/>
    </xf>
    <xf numFmtId="183" fontId="9" fillId="0" borderId="29" xfId="0" applyNumberFormat="1" applyFont="1" applyBorder="1" applyAlignment="1">
      <alignment horizontal="center" vertical="center" wrapText="1"/>
    </xf>
    <xf numFmtId="183" fontId="9" fillId="0" borderId="22" xfId="0" applyNumberFormat="1" applyFont="1" applyBorder="1" applyAlignment="1">
      <alignment horizontal="center" vertical="center" wrapText="1"/>
    </xf>
    <xf numFmtId="183" fontId="9" fillId="0" borderId="22" xfId="0" applyNumberFormat="1" applyFont="1" applyBorder="1" applyAlignment="1">
      <alignment horizontal="centerContinuous" vertical="center" wrapText="1"/>
    </xf>
    <xf numFmtId="183" fontId="9" fillId="0" borderId="31" xfId="0" applyNumberFormat="1" applyFont="1" applyBorder="1" applyAlignment="1">
      <alignment horizontal="centerContinuous" vertical="center" wrapText="1"/>
    </xf>
    <xf numFmtId="183" fontId="9" fillId="0" borderId="30" xfId="0" applyNumberFormat="1" applyFont="1" applyBorder="1" applyAlignment="1">
      <alignment horizontal="centerContinuous" vertical="center" wrapText="1"/>
    </xf>
    <xf numFmtId="0" fontId="16" fillId="0" borderId="30" xfId="0" applyFont="1" applyBorder="1" applyAlignment="1">
      <alignment horizontal="center" vertical="center"/>
    </xf>
    <xf numFmtId="181" fontId="9" fillId="0" borderId="30" xfId="0" applyNumberFormat="1" applyFont="1" applyBorder="1" applyAlignment="1">
      <alignment horizontal="centerContinuous" vertical="center"/>
    </xf>
    <xf numFmtId="183" fontId="11" fillId="0" borderId="30" xfId="0" applyNumberFormat="1" applyFont="1" applyBorder="1" applyAlignment="1">
      <alignment horizontal="center" vertical="center"/>
    </xf>
    <xf numFmtId="176" fontId="11" fillId="0" borderId="22" xfId="0" applyNumberFormat="1" applyFont="1" applyBorder="1" applyAlignment="1">
      <alignment horizontal="centerContinuous" vertical="center"/>
    </xf>
    <xf numFmtId="0" fontId="11" fillId="0" borderId="22" xfId="0" applyFont="1" applyBorder="1" applyAlignment="1">
      <alignment horizontal="centerContinuous" vertical="center"/>
    </xf>
    <xf numFmtId="176" fontId="11" fillId="0" borderId="29" xfId="0" applyNumberFormat="1" applyFont="1" applyBorder="1" applyAlignment="1">
      <alignment horizontal="centerContinuous" vertical="center"/>
    </xf>
    <xf numFmtId="0" fontId="11" fillId="0" borderId="32" xfId="0" applyFont="1" applyBorder="1" applyAlignment="1">
      <alignment horizontal="centerContinuous" vertical="center"/>
    </xf>
    <xf numFmtId="0" fontId="14" fillId="0" borderId="7" xfId="0" applyFont="1" applyBorder="1" applyAlignment="1">
      <alignment horizontal="center" vertical="center"/>
    </xf>
    <xf numFmtId="0" fontId="16" fillId="0" borderId="7" xfId="0" applyFont="1" applyBorder="1" applyAlignment="1">
      <alignment horizontal="center" vertical="center"/>
    </xf>
    <xf numFmtId="182" fontId="9" fillId="0" borderId="7" xfId="0" applyNumberFormat="1" applyFont="1" applyBorder="1" applyAlignment="1">
      <alignment horizontal="center" vertical="center"/>
    </xf>
    <xf numFmtId="180" fontId="9" fillId="0" borderId="7" xfId="0" applyNumberFormat="1" applyFont="1" applyBorder="1" applyAlignment="1">
      <alignment horizontal="center" vertical="center"/>
    </xf>
    <xf numFmtId="181" fontId="9" fillId="0" borderId="7" xfId="0" applyNumberFormat="1" applyFont="1" applyBorder="1" applyAlignment="1">
      <alignment horizontal="centerContinuous" vertical="center"/>
    </xf>
    <xf numFmtId="183" fontId="11" fillId="0" borderId="7" xfId="0" applyNumberFormat="1" applyFont="1" applyBorder="1" applyAlignment="1">
      <alignment horizontal="center" vertical="center"/>
    </xf>
    <xf numFmtId="183" fontId="9" fillId="0" borderId="32" xfId="0" applyNumberFormat="1" applyFont="1" applyBorder="1" applyAlignment="1">
      <alignment horizontal="centerContinuous" vertical="center" wrapText="1"/>
    </xf>
    <xf numFmtId="174" fontId="9" fillId="0" borderId="32" xfId="0" applyNumberFormat="1" applyFont="1" applyBorder="1" applyAlignment="1">
      <alignment horizontal="centerContinuous" vertical="center"/>
    </xf>
    <xf numFmtId="0" fontId="9" fillId="0" borderId="7" xfId="0" applyFont="1" applyBorder="1" applyAlignment="1">
      <alignment horizontal="centerContinuous" vertical="center"/>
    </xf>
    <xf numFmtId="176" fontId="9" fillId="0" borderId="7" xfId="0" applyNumberFormat="1" applyFont="1" applyBorder="1" applyAlignment="1">
      <alignment horizontal="centerContinuous" vertical="center"/>
    </xf>
    <xf numFmtId="178" fontId="9" fillId="0" borderId="7" xfId="0" applyNumberFormat="1" applyFont="1" applyBorder="1" applyAlignment="1">
      <alignment horizontal="centerContinuous" vertical="center"/>
    </xf>
    <xf numFmtId="178" fontId="10" fillId="0" borderId="7" xfId="0" applyNumberFormat="1" applyFont="1" applyBorder="1" applyAlignment="1">
      <alignment horizontal="centerContinuous" vertical="center"/>
    </xf>
    <xf numFmtId="0" fontId="9" fillId="0" borderId="32" xfId="0" applyFont="1" applyBorder="1" applyAlignment="1">
      <alignment horizontal="centerContinuous" vertical="center"/>
    </xf>
    <xf numFmtId="189" fontId="11" fillId="0" borderId="7" xfId="0" applyNumberFormat="1" applyFont="1" applyBorder="1" applyAlignment="1">
      <alignment horizontal="centerContinuous" vertical="center"/>
    </xf>
    <xf numFmtId="178" fontId="11" fillId="0" borderId="7" xfId="0" applyNumberFormat="1" applyFont="1" applyBorder="1" applyAlignment="1">
      <alignment horizontal="centerContinuous" vertical="center"/>
    </xf>
    <xf numFmtId="185" fontId="9" fillId="0" borderId="7" xfId="0" applyNumberFormat="1" applyFont="1" applyBorder="1" applyAlignment="1">
      <alignment horizontal="center" vertical="center"/>
    </xf>
    <xf numFmtId="187" fontId="9" fillId="0" borderId="7" xfId="0" applyNumberFormat="1" applyFont="1" applyBorder="1" applyAlignment="1">
      <alignment horizontal="center" vertical="center"/>
    </xf>
    <xf numFmtId="186" fontId="11" fillId="0" borderId="7" xfId="0" applyNumberFormat="1" applyFont="1" applyBorder="1" applyAlignment="1">
      <alignment horizontal="center" vertical="center"/>
    </xf>
    <xf numFmtId="174" fontId="9" fillId="0" borderId="7" xfId="0" applyNumberFormat="1" applyFont="1" applyBorder="1" applyAlignment="1">
      <alignment horizontal="centerContinuous" vertical="center"/>
    </xf>
    <xf numFmtId="174" fontId="15" fillId="0" borderId="7" xfId="0" applyNumberFormat="1" applyFont="1" applyBorder="1" applyAlignment="1">
      <alignment horizontal="centerContinuous" vertical="center"/>
    </xf>
    <xf numFmtId="0" fontId="14" fillId="0" borderId="7" xfId="0" applyFont="1" applyBorder="1" applyAlignment="1">
      <alignment horizontal="centerContinuous" vertical="center"/>
    </xf>
    <xf numFmtId="188" fontId="9" fillId="0" borderId="7" xfId="207" applyNumberFormat="1" applyFont="1" applyBorder="1" applyAlignment="1">
      <alignment horizontal="centerContinuous" vertical="center"/>
    </xf>
    <xf numFmtId="184" fontId="9" fillId="0" borderId="7" xfId="0" applyNumberFormat="1" applyFont="1" applyBorder="1" applyAlignment="1">
      <alignment horizontal="centerContinuous" vertical="center"/>
    </xf>
    <xf numFmtId="184" fontId="11" fillId="0" borderId="7" xfId="0" applyNumberFormat="1" applyFont="1" applyBorder="1" applyAlignment="1">
      <alignment horizontal="centerContinuous" vertical="center"/>
    </xf>
    <xf numFmtId="0" fontId="11" fillId="0" borderId="7" xfId="0" applyFont="1" applyBorder="1" applyAlignment="1">
      <alignment horizontal="center" vertical="center"/>
    </xf>
    <xf numFmtId="0" fontId="9" fillId="0" borderId="7" xfId="0" applyFont="1" applyBorder="1" applyAlignment="1">
      <alignment horizontal="center" vertical="center" wrapText="1"/>
    </xf>
    <xf numFmtId="179" fontId="12" fillId="0" borderId="7" xfId="0" applyNumberFormat="1" applyFont="1" applyBorder="1" applyAlignment="1">
      <alignment horizontal="center" vertical="center" wrapText="1"/>
    </xf>
    <xf numFmtId="179" fontId="12" fillId="0" borderId="30" xfId="0" applyNumberFormat="1" applyFont="1" applyBorder="1" applyAlignment="1">
      <alignment horizontal="center" vertical="center" wrapText="1"/>
    </xf>
    <xf numFmtId="0" fontId="17" fillId="0" borderId="7"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78" fontId="0" fillId="0" borderId="0" xfId="0" applyNumberFormat="1"/>
    <xf numFmtId="2" fontId="0" fillId="0" borderId="0" xfId="0" applyNumberFormat="1" applyAlignment="1">
      <alignment horizontal="center"/>
    </xf>
    <xf numFmtId="3" fontId="0" fillId="0" borderId="0" xfId="0" applyNumberFormat="1"/>
    <xf numFmtId="171" fontId="0" fillId="0" borderId="0" xfId="0" applyNumberFormat="1" applyAlignment="1">
      <alignment horizontal="center"/>
    </xf>
    <xf numFmtId="3" fontId="0" fillId="0" borderId="0" xfId="0" applyNumberFormat="1" applyAlignment="1">
      <alignment horizontal="center" vertical="center"/>
    </xf>
    <xf numFmtId="16" fontId="0" fillId="0" borderId="22" xfId="0" applyNumberFormat="1" applyBorder="1" applyAlignment="1">
      <alignment horizontal="center"/>
    </xf>
    <xf numFmtId="0" fontId="0" fillId="0" borderId="12" xfId="0" applyBorder="1" applyAlignment="1">
      <alignment horizontal="center" vertical="center"/>
    </xf>
    <xf numFmtId="0" fontId="29" fillId="0" borderId="33" xfId="0" applyFont="1" applyBorder="1" applyAlignment="1">
      <alignment horizontal="center"/>
    </xf>
    <xf numFmtId="0" fontId="0" fillId="0" borderId="33" xfId="0" applyBorder="1" applyAlignment="1">
      <alignment horizontal="center"/>
    </xf>
    <xf numFmtId="0" fontId="0" fillId="0" borderId="15" xfId="0" applyBorder="1" applyAlignment="1">
      <alignment horizontal="center"/>
    </xf>
    <xf numFmtId="0" fontId="14" fillId="7" borderId="7" xfId="0" applyFont="1" applyFill="1" applyBorder="1" applyAlignment="1">
      <alignment horizontal="center" vertical="center"/>
    </xf>
    <xf numFmtId="181" fontId="9" fillId="0" borderId="7" xfId="0" applyNumberFormat="1" applyFont="1" applyBorder="1" applyAlignment="1">
      <alignment horizontal="center" vertical="center"/>
    </xf>
    <xf numFmtId="190" fontId="11" fillId="0" borderId="22" xfId="0" applyNumberFormat="1" applyFont="1" applyBorder="1" applyAlignment="1">
      <alignment horizontal="centerContinuous" vertical="center"/>
    </xf>
    <xf numFmtId="190" fontId="9" fillId="0" borderId="22" xfId="0" applyNumberFormat="1" applyFont="1" applyBorder="1" applyAlignment="1">
      <alignment horizontal="centerContinuous" vertical="center"/>
    </xf>
    <xf numFmtId="0" fontId="31" fillId="0" borderId="49" xfId="0" applyFont="1" applyBorder="1"/>
    <xf numFmtId="0" fontId="31" fillId="0" borderId="50" xfId="0" applyFont="1" applyBorder="1"/>
    <xf numFmtId="178" fontId="29" fillId="0" borderId="48" xfId="0" applyNumberFormat="1" applyFont="1" applyBorder="1" applyAlignment="1">
      <alignment horizontal="center" vertical="center"/>
    </xf>
    <xf numFmtId="178" fontId="29" fillId="0" borderId="47" xfId="0" applyNumberFormat="1" applyFont="1" applyBorder="1" applyAlignment="1">
      <alignment horizontal="center" vertical="center"/>
    </xf>
    <xf numFmtId="0" fontId="27" fillId="2" borderId="0" xfId="0" applyFont="1" applyFill="1" applyAlignment="1">
      <alignment horizontal="center"/>
    </xf>
    <xf numFmtId="0" fontId="35" fillId="0" borderId="0" xfId="210" applyFont="1" applyAlignment="1">
      <alignment horizontal="center"/>
    </xf>
    <xf numFmtId="0" fontId="35" fillId="0" borderId="0" xfId="210" applyFont="1" applyAlignment="1">
      <alignment horizontal="center" vertical="center"/>
    </xf>
    <xf numFmtId="0" fontId="35" fillId="0" borderId="0" xfId="210" applyFont="1"/>
    <xf numFmtId="0" fontId="37" fillId="0" borderId="0" xfId="210" applyFont="1" applyAlignment="1">
      <alignment horizontal="center" vertical="center"/>
    </xf>
    <xf numFmtId="0" fontId="35" fillId="0" borderId="0" xfId="210" applyFont="1" applyAlignment="1">
      <alignment vertical="center"/>
    </xf>
    <xf numFmtId="177" fontId="39" fillId="0" borderId="0" xfId="210" applyNumberFormat="1" applyFont="1" applyAlignment="1">
      <alignment horizontal="center" vertical="center"/>
    </xf>
    <xf numFmtId="0" fontId="35" fillId="0" borderId="33" xfId="210" applyFont="1" applyBorder="1" applyAlignment="1">
      <alignment horizontal="center" vertical="center"/>
    </xf>
    <xf numFmtId="194" fontId="37" fillId="0" borderId="0" xfId="210" applyNumberFormat="1" applyFont="1" applyAlignment="1">
      <alignment horizontal="center" vertical="center"/>
    </xf>
    <xf numFmtId="0" fontId="0" fillId="0" borderId="0" xfId="0" applyAlignment="1">
      <alignment wrapText="1"/>
    </xf>
    <xf numFmtId="0" fontId="37" fillId="0" borderId="0" xfId="210" applyFont="1" applyAlignment="1">
      <alignment horizontal="right" vertical="center"/>
    </xf>
    <xf numFmtId="175" fontId="37" fillId="0" borderId="0" xfId="210" applyNumberFormat="1" applyFont="1" applyAlignment="1">
      <alignment horizontal="center" vertical="center"/>
    </xf>
    <xf numFmtId="17" fontId="33" fillId="4" borderId="4" xfId="0" applyNumberFormat="1" applyFont="1" applyFill="1" applyBorder="1" applyAlignment="1">
      <alignment horizontal="centerContinuous" vertical="center" wrapText="1"/>
    </xf>
    <xf numFmtId="17" fontId="33" fillId="4" borderId="6" xfId="0" applyNumberFormat="1" applyFont="1" applyFill="1" applyBorder="1" applyAlignment="1">
      <alignment horizontal="centerContinuous" vertical="center" wrapText="1"/>
    </xf>
    <xf numFmtId="17" fontId="33" fillId="4" borderId="5" xfId="0" applyNumberFormat="1" applyFont="1" applyFill="1" applyBorder="1" applyAlignment="1">
      <alignment horizontal="centerContinuous" vertical="center" wrapText="1"/>
    </xf>
    <xf numFmtId="17" fontId="33" fillId="4" borderId="26" xfId="0" applyNumberFormat="1" applyFont="1" applyFill="1" applyBorder="1" applyAlignment="1">
      <alignment horizontal="centerContinuous" vertical="center" wrapText="1"/>
    </xf>
    <xf numFmtId="0" fontId="0" fillId="0" borderId="6" xfId="0" applyBorder="1" applyAlignment="1">
      <alignment horizontal="centerContinuous" wrapText="1"/>
    </xf>
    <xf numFmtId="17" fontId="33" fillId="4" borderId="54" xfId="0" applyNumberFormat="1" applyFont="1" applyFill="1" applyBorder="1" applyAlignment="1">
      <alignment horizontal="centerContinuous" vertical="center" wrapText="1"/>
    </xf>
    <xf numFmtId="17" fontId="33" fillId="4" borderId="55" xfId="0" applyNumberFormat="1" applyFont="1" applyFill="1" applyBorder="1" applyAlignment="1">
      <alignment horizontal="centerContinuous" vertical="center" wrapText="1"/>
    </xf>
    <xf numFmtId="17" fontId="33" fillId="4" borderId="10" xfId="0" applyNumberFormat="1" applyFont="1" applyFill="1" applyBorder="1" applyAlignment="1">
      <alignment horizontal="centerContinuous" vertical="center" wrapText="1"/>
    </xf>
    <xf numFmtId="195" fontId="26" fillId="11" borderId="12" xfId="0" applyNumberFormat="1" applyFont="1" applyFill="1" applyBorder="1" applyAlignment="1">
      <alignment horizontal="center" vertical="center" wrapText="1"/>
    </xf>
    <xf numFmtId="195" fontId="26" fillId="11" borderId="33" xfId="0" applyNumberFormat="1" applyFont="1" applyFill="1" applyBorder="1" applyAlignment="1">
      <alignment horizontal="center" vertical="center" wrapText="1"/>
    </xf>
    <xf numFmtId="195" fontId="26" fillId="11" borderId="13" xfId="0" applyNumberFormat="1" applyFont="1" applyFill="1" applyBorder="1" applyAlignment="1">
      <alignment horizontal="center" vertical="center" wrapText="1"/>
    </xf>
    <xf numFmtId="195" fontId="26" fillId="12" borderId="30" xfId="0" applyNumberFormat="1" applyFont="1" applyFill="1" applyBorder="1" applyAlignment="1">
      <alignment horizontal="center" vertical="center" wrapText="1"/>
    </xf>
    <xf numFmtId="195" fontId="26" fillId="12" borderId="33" xfId="0" applyNumberFormat="1" applyFont="1" applyFill="1" applyBorder="1" applyAlignment="1">
      <alignment horizontal="center" vertical="center" wrapText="1"/>
    </xf>
    <xf numFmtId="195" fontId="26" fillId="12" borderId="13" xfId="0" applyNumberFormat="1" applyFont="1" applyFill="1" applyBorder="1" applyAlignment="1">
      <alignment horizontal="center" vertical="center" wrapText="1"/>
    </xf>
    <xf numFmtId="0" fontId="35" fillId="0" borderId="0" xfId="210" applyFont="1" applyAlignment="1">
      <alignment horizontal="right"/>
    </xf>
    <xf numFmtId="196" fontId="26" fillId="11" borderId="12" xfId="0" applyNumberFormat="1" applyFont="1" applyFill="1" applyBorder="1" applyAlignment="1">
      <alignment horizontal="center" vertical="center" wrapText="1"/>
    </xf>
    <xf numFmtId="196" fontId="26" fillId="11" borderId="33" xfId="0" applyNumberFormat="1" applyFont="1" applyFill="1" applyBorder="1" applyAlignment="1">
      <alignment horizontal="center" vertical="center" wrapText="1"/>
    </xf>
    <xf numFmtId="196" fontId="26" fillId="12" borderId="33" xfId="0" applyNumberFormat="1" applyFont="1" applyFill="1" applyBorder="1" applyAlignment="1">
      <alignment horizontal="center" vertical="center" wrapText="1"/>
    </xf>
    <xf numFmtId="196" fontId="26" fillId="11" borderId="13" xfId="0" applyNumberFormat="1" applyFont="1" applyFill="1" applyBorder="1" applyAlignment="1">
      <alignment horizontal="center" vertical="center" wrapText="1"/>
    </xf>
    <xf numFmtId="16" fontId="26" fillId="4" borderId="12" xfId="96" applyNumberFormat="1" applyFont="1" applyFill="1" applyBorder="1" applyAlignment="1">
      <alignment horizontal="center" vertical="center" wrapText="1"/>
    </xf>
    <xf numFmtId="16" fontId="26" fillId="4" borderId="33" xfId="96" applyNumberFormat="1" applyFont="1" applyFill="1" applyBorder="1" applyAlignment="1">
      <alignment horizontal="center" vertical="center" wrapText="1"/>
    </xf>
    <xf numFmtId="16" fontId="26" fillId="4" borderId="13" xfId="96" applyNumberFormat="1" applyFont="1" applyFill="1" applyBorder="1" applyAlignment="1">
      <alignment horizontal="center" vertical="center" wrapText="1"/>
    </xf>
    <xf numFmtId="2" fontId="35" fillId="0" borderId="0" xfId="210" applyNumberFormat="1" applyFont="1" applyAlignment="1">
      <alignment horizontal="center" vertical="center"/>
    </xf>
    <xf numFmtId="0" fontId="0" fillId="0" borderId="0" xfId="0" applyAlignment="1">
      <alignment horizontal="center" vertical="center" wrapText="1"/>
    </xf>
    <xf numFmtId="2" fontId="35" fillId="0" borderId="0" xfId="210" applyNumberFormat="1" applyFont="1" applyAlignment="1">
      <alignment horizontal="right" vertical="center"/>
    </xf>
    <xf numFmtId="0" fontId="35" fillId="0" borderId="0" xfId="210" applyFont="1" applyAlignment="1">
      <alignment horizontal="right" vertical="center"/>
    </xf>
    <xf numFmtId="195" fontId="26" fillId="12" borderId="12" xfId="0" applyNumberFormat="1" applyFont="1" applyFill="1" applyBorder="1" applyAlignment="1">
      <alignment horizontal="center" vertical="center" wrapText="1"/>
    </xf>
    <xf numFmtId="196" fontId="26" fillId="12" borderId="12" xfId="0" applyNumberFormat="1" applyFont="1" applyFill="1" applyBorder="1" applyAlignment="1">
      <alignment horizontal="center" vertical="center" wrapText="1"/>
    </xf>
    <xf numFmtId="196" fontId="26" fillId="12" borderId="13" xfId="0" applyNumberFormat="1" applyFont="1" applyFill="1" applyBorder="1" applyAlignment="1">
      <alignment horizontal="center" vertical="center" wrapText="1"/>
    </xf>
    <xf numFmtId="16" fontId="26" fillId="4" borderId="30" xfId="96" applyNumberFormat="1" applyFont="1" applyFill="1" applyBorder="1" applyAlignment="1">
      <alignment horizontal="center" vertical="center" wrapText="1"/>
    </xf>
    <xf numFmtId="16" fontId="26" fillId="16" borderId="33" xfId="96" applyNumberFormat="1" applyFont="1" applyFill="1" applyBorder="1" applyAlignment="1">
      <alignment horizontal="center" vertical="center" wrapText="1"/>
    </xf>
    <xf numFmtId="16" fontId="26" fillId="16" borderId="13" xfId="96" applyNumberFormat="1" applyFont="1" applyFill="1" applyBorder="1" applyAlignment="1">
      <alignment horizontal="center" vertical="center" wrapText="1"/>
    </xf>
    <xf numFmtId="16" fontId="26" fillId="16" borderId="12" xfId="96" applyNumberFormat="1" applyFont="1" applyFill="1" applyBorder="1" applyAlignment="1">
      <alignment horizontal="center" vertical="center" wrapText="1"/>
    </xf>
    <xf numFmtId="0" fontId="0" fillId="0" borderId="0" xfId="0" applyAlignment="1">
      <alignment horizontal="center" wrapText="1"/>
    </xf>
    <xf numFmtId="9" fontId="0" fillId="0" borderId="0" xfId="207" applyFont="1" applyAlignment="1">
      <alignment wrapText="1"/>
    </xf>
    <xf numFmtId="0" fontId="26" fillId="0" borderId="0" xfId="0" applyFont="1" applyAlignment="1">
      <alignment horizontal="center"/>
    </xf>
    <xf numFmtId="178" fontId="0" fillId="0" borderId="0" xfId="0" applyNumberFormat="1" applyAlignment="1">
      <alignment horizontal="center"/>
    </xf>
    <xf numFmtId="9" fontId="0" fillId="0" borderId="0" xfId="207" applyFont="1" applyAlignment="1">
      <alignment horizontal="center"/>
    </xf>
    <xf numFmtId="178" fontId="35" fillId="0" borderId="0" xfId="210" applyNumberFormat="1" applyFont="1" applyAlignment="1">
      <alignment horizontal="center"/>
    </xf>
    <xf numFmtId="0" fontId="44" fillId="0" borderId="0" xfId="210" applyFont="1" applyAlignment="1">
      <alignment horizontal="center"/>
    </xf>
    <xf numFmtId="0" fontId="28" fillId="0" borderId="0" xfId="0" applyFont="1" applyAlignment="1">
      <alignment horizontal="center" wrapText="1"/>
    </xf>
    <xf numFmtId="172" fontId="35" fillId="0" borderId="0" xfId="210" applyNumberFormat="1" applyFont="1" applyAlignment="1">
      <alignment horizontal="center"/>
    </xf>
    <xf numFmtId="175" fontId="35" fillId="0" borderId="0" xfId="210" applyNumberFormat="1" applyFont="1" applyAlignment="1">
      <alignment horizontal="center" vertical="center"/>
    </xf>
    <xf numFmtId="178" fontId="0" fillId="0" borderId="0" xfId="0" applyNumberFormat="1" applyAlignment="1">
      <alignment horizontal="center" wrapText="1"/>
    </xf>
    <xf numFmtId="178" fontId="0" fillId="0" borderId="59" xfId="0" applyNumberFormat="1" applyBorder="1" applyAlignment="1">
      <alignment horizontal="center" wrapText="1"/>
    </xf>
    <xf numFmtId="10" fontId="22" fillId="0" borderId="0" xfId="207" applyNumberFormat="1" applyFont="1" applyFill="1" applyBorder="1" applyAlignment="1">
      <alignment horizontal="center" vertical="center"/>
    </xf>
    <xf numFmtId="184" fontId="35" fillId="0" borderId="0" xfId="210" applyNumberFormat="1" applyFont="1" applyAlignment="1">
      <alignment horizontal="center"/>
    </xf>
    <xf numFmtId="197" fontId="23" fillId="5" borderId="0" xfId="0" applyNumberFormat="1" applyFont="1" applyFill="1" applyAlignment="1">
      <alignment horizontal="center" vertical="center"/>
    </xf>
    <xf numFmtId="198" fontId="23" fillId="5" borderId="0" xfId="0" applyNumberFormat="1" applyFont="1" applyFill="1" applyAlignment="1">
      <alignment horizontal="center" vertical="center"/>
    </xf>
    <xf numFmtId="199" fontId="0" fillId="0" borderId="0" xfId="0" applyNumberFormat="1"/>
    <xf numFmtId="0" fontId="0" fillId="0" borderId="0" xfId="0" applyAlignment="1">
      <alignment horizontal="right"/>
    </xf>
    <xf numFmtId="200" fontId="0" fillId="0" borderId="0" xfId="0" applyNumberFormat="1" applyAlignment="1">
      <alignment horizontal="center" vertical="center"/>
    </xf>
    <xf numFmtId="201" fontId="0" fillId="0" borderId="0" xfId="0" applyNumberFormat="1" applyAlignment="1">
      <alignment horizontal="center" vertical="center"/>
    </xf>
    <xf numFmtId="202" fontId="0" fillId="0" borderId="0" xfId="0" applyNumberFormat="1" applyAlignment="1">
      <alignment horizontal="center" vertical="center"/>
    </xf>
    <xf numFmtId="0" fontId="26" fillId="0" borderId="51"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58" xfId="0" applyFont="1" applyBorder="1" applyAlignment="1">
      <alignment horizontal="center" vertical="center" wrapText="1"/>
    </xf>
    <xf numFmtId="0" fontId="26" fillId="0" borderId="33" xfId="0" applyFont="1" applyBorder="1" applyAlignment="1">
      <alignment horizontal="center"/>
    </xf>
    <xf numFmtId="2" fontId="0" fillId="0" borderId="33" xfId="0" applyNumberFormat="1" applyBorder="1" applyAlignment="1">
      <alignment horizontal="center" vertical="center"/>
    </xf>
    <xf numFmtId="203" fontId="0" fillId="0" borderId="33" xfId="0" applyNumberFormat="1" applyBorder="1" applyAlignment="1">
      <alignment horizontal="center" vertical="center"/>
    </xf>
    <xf numFmtId="204" fontId="26" fillId="0" borderId="33" xfId="0" applyNumberFormat="1" applyFont="1" applyBorder="1" applyAlignment="1">
      <alignment horizontal="center" vertical="center"/>
    </xf>
    <xf numFmtId="2" fontId="0" fillId="0" borderId="33" xfId="0" applyNumberFormat="1" applyBorder="1" applyAlignment="1">
      <alignment horizontal="center"/>
    </xf>
    <xf numFmtId="2" fontId="0" fillId="0" borderId="22" xfId="0" applyNumberFormat="1" applyBorder="1" applyAlignment="1">
      <alignment horizontal="center"/>
    </xf>
    <xf numFmtId="200" fontId="0" fillId="0" borderId="0" xfId="0" applyNumberFormat="1" applyAlignment="1">
      <alignment horizontal="center"/>
    </xf>
    <xf numFmtId="172" fontId="26" fillId="0" borderId="0" xfId="0" applyNumberFormat="1" applyFont="1" applyAlignment="1">
      <alignment horizontal="center"/>
    </xf>
    <xf numFmtId="0" fontId="27" fillId="2" borderId="0" xfId="0" applyFont="1" applyFill="1" applyAlignment="1">
      <alignment horizontal="left"/>
    </xf>
    <xf numFmtId="0" fontId="26" fillId="0" borderId="0" xfId="0" applyFont="1" applyAlignment="1">
      <alignment horizontal="center" vertical="center"/>
    </xf>
    <xf numFmtId="205" fontId="26" fillId="0" borderId="33" xfId="0" applyNumberFormat="1" applyFont="1" applyBorder="1" applyAlignment="1">
      <alignment horizontal="center" vertical="center"/>
    </xf>
    <xf numFmtId="206" fontId="0" fillId="0" borderId="0" xfId="0" applyNumberFormat="1" applyAlignment="1">
      <alignment horizontal="center"/>
    </xf>
    <xf numFmtId="172" fontId="0" fillId="0" borderId="0" xfId="0" applyNumberFormat="1" applyAlignment="1">
      <alignment horizontal="center"/>
    </xf>
    <xf numFmtId="6" fontId="0" fillId="0" borderId="0" xfId="0" applyNumberFormat="1"/>
    <xf numFmtId="200" fontId="0" fillId="0" borderId="0" xfId="0" applyNumberFormat="1"/>
    <xf numFmtId="200" fontId="26" fillId="0" borderId="0" xfId="0" applyNumberFormat="1" applyFont="1" applyAlignment="1">
      <alignment horizontal="center"/>
    </xf>
    <xf numFmtId="172" fontId="26" fillId="0" borderId="59" xfId="0" applyNumberFormat="1" applyFont="1" applyBorder="1" applyAlignment="1">
      <alignment horizontal="center"/>
    </xf>
    <xf numFmtId="200" fontId="26" fillId="0" borderId="59" xfId="0" applyNumberFormat="1" applyFont="1" applyBorder="1" applyAlignment="1">
      <alignment horizontal="center"/>
    </xf>
    <xf numFmtId="193" fontId="0" fillId="0" borderId="33" xfId="0" applyNumberFormat="1" applyBorder="1" applyAlignment="1">
      <alignment horizontal="center" vertical="center"/>
    </xf>
    <xf numFmtId="0" fontId="0" fillId="19" borderId="31" xfId="0" applyFill="1" applyBorder="1" applyAlignment="1">
      <alignment vertical="center" wrapText="1"/>
    </xf>
    <xf numFmtId="194" fontId="0" fillId="14" borderId="33" xfId="0" applyNumberFormat="1" applyFill="1" applyBorder="1" applyAlignment="1">
      <alignment horizontal="centerContinuous" vertical="center" wrapText="1"/>
    </xf>
    <xf numFmtId="0" fontId="0" fillId="13" borderId="31" xfId="0" applyFill="1" applyBorder="1" applyAlignment="1">
      <alignment vertical="center" wrapText="1"/>
    </xf>
    <xf numFmtId="178" fontId="29" fillId="0" borderId="60" xfId="0" applyNumberFormat="1" applyFont="1" applyBorder="1" applyAlignment="1">
      <alignment horizontal="center" vertical="center"/>
    </xf>
    <xf numFmtId="178" fontId="29" fillId="0" borderId="61" xfId="0" applyNumberFormat="1" applyFont="1" applyBorder="1" applyAlignment="1">
      <alignment horizontal="center" vertical="center"/>
    </xf>
    <xf numFmtId="178" fontId="29" fillId="0" borderId="62" xfId="0" applyNumberFormat="1" applyFont="1" applyBorder="1" applyAlignment="1">
      <alignment horizontal="center" vertical="center"/>
    </xf>
    <xf numFmtId="178" fontId="29" fillId="0" borderId="63" xfId="0" applyNumberFormat="1" applyFont="1" applyBorder="1" applyAlignment="1">
      <alignment horizontal="center" vertical="center"/>
    </xf>
    <xf numFmtId="207" fontId="0" fillId="0" borderId="0" xfId="0" applyNumberFormat="1"/>
    <xf numFmtId="208" fontId="0" fillId="0" borderId="0" xfId="0" applyNumberFormat="1"/>
    <xf numFmtId="209" fontId="0" fillId="0" borderId="0" xfId="0" applyNumberFormat="1"/>
    <xf numFmtId="0" fontId="35" fillId="0" borderId="0" xfId="210" applyFont="1" applyAlignment="1">
      <alignment horizontal="left"/>
    </xf>
    <xf numFmtId="0" fontId="26" fillId="0" borderId="0" xfId="0" applyFont="1"/>
    <xf numFmtId="208" fontId="26" fillId="0" borderId="0" xfId="0" applyNumberFormat="1" applyFont="1"/>
    <xf numFmtId="207" fontId="26" fillId="0" borderId="0" xfId="0" applyNumberFormat="1" applyFont="1"/>
    <xf numFmtId="208" fontId="26" fillId="0" borderId="0" xfId="0" applyNumberFormat="1" applyFont="1" applyAlignment="1">
      <alignment horizontal="center"/>
    </xf>
    <xf numFmtId="207" fontId="26" fillId="0" borderId="0" xfId="0" applyNumberFormat="1" applyFont="1" applyAlignment="1">
      <alignment horizontal="center"/>
    </xf>
    <xf numFmtId="0" fontId="0" fillId="0" borderId="0" xfId="0" applyAlignment="1">
      <alignment horizontal="left"/>
    </xf>
    <xf numFmtId="0" fontId="18" fillId="4" borderId="0" xfId="0" applyFont="1" applyFill="1" applyAlignment="1" applyProtection="1">
      <alignment vertical="center"/>
      <protection locked="0"/>
    </xf>
    <xf numFmtId="0" fontId="18" fillId="4" borderId="0" xfId="0" applyFont="1" applyFill="1" applyAlignment="1" applyProtection="1">
      <alignment horizontal="left" vertical="center" wrapText="1"/>
      <protection locked="0"/>
    </xf>
    <xf numFmtId="178" fontId="18" fillId="4" borderId="0" xfId="0" applyNumberFormat="1" applyFont="1" applyFill="1" applyAlignment="1" applyProtection="1">
      <alignment horizontal="center" vertical="center"/>
      <protection locked="0"/>
    </xf>
    <xf numFmtId="4" fontId="18" fillId="4" borderId="0" xfId="0" applyNumberFormat="1" applyFont="1" applyFill="1" applyAlignment="1" applyProtection="1">
      <alignment vertical="center"/>
      <protection locked="0"/>
    </xf>
    <xf numFmtId="0" fontId="19" fillId="4" borderId="0" xfId="0" applyFont="1" applyFill="1" applyAlignment="1" applyProtection="1">
      <alignment horizontal="center" vertical="center"/>
      <protection locked="0"/>
    </xf>
    <xf numFmtId="16" fontId="18" fillId="4" borderId="0" xfId="0" applyNumberFormat="1" applyFont="1" applyFill="1" applyAlignment="1">
      <alignment vertical="center"/>
    </xf>
    <xf numFmtId="0" fontId="52" fillId="9" borderId="0" xfId="0" applyFont="1" applyFill="1" applyAlignment="1" applyProtection="1">
      <alignment horizontal="center" vertical="center"/>
      <protection locked="0"/>
    </xf>
    <xf numFmtId="0" fontId="52" fillId="25" borderId="0" xfId="0" applyFont="1" applyFill="1" applyAlignment="1" applyProtection="1">
      <alignment horizontal="center" vertical="center"/>
      <protection locked="0"/>
    </xf>
    <xf numFmtId="0" fontId="18" fillId="23" borderId="0" xfId="0" applyFont="1" applyFill="1" applyAlignment="1" applyProtection="1">
      <alignment vertical="center"/>
      <protection locked="0"/>
    </xf>
    <xf numFmtId="16" fontId="18" fillId="4" borderId="0" xfId="0" applyNumberFormat="1" applyFont="1" applyFill="1" applyAlignment="1" applyProtection="1">
      <alignment vertical="center"/>
      <protection locked="0"/>
    </xf>
    <xf numFmtId="0" fontId="18" fillId="0" borderId="0" xfId="0" applyFont="1" applyAlignment="1" applyProtection="1">
      <alignment vertical="center"/>
      <protection locked="0"/>
    </xf>
    <xf numFmtId="0" fontId="19" fillId="4" borderId="33" xfId="0" applyFont="1" applyFill="1" applyBorder="1" applyAlignment="1" applyProtection="1">
      <alignment horizontal="center" vertical="center"/>
      <protection locked="0"/>
    </xf>
    <xf numFmtId="0" fontId="19" fillId="4" borderId="33" xfId="0" applyFont="1" applyFill="1" applyBorder="1" applyAlignment="1" applyProtection="1">
      <alignment horizontal="left" vertical="center"/>
      <protection locked="0"/>
    </xf>
    <xf numFmtId="0" fontId="18" fillId="4" borderId="33" xfId="0" applyFont="1" applyFill="1" applyBorder="1" applyAlignment="1" applyProtection="1">
      <alignment vertical="center"/>
      <protection locked="0"/>
    </xf>
    <xf numFmtId="16" fontId="19" fillId="4" borderId="0" xfId="0" applyNumberFormat="1" applyFont="1" applyFill="1" applyAlignment="1" applyProtection="1">
      <alignment horizontal="center" vertical="center"/>
      <protection locked="0"/>
    </xf>
    <xf numFmtId="171" fontId="23" fillId="4" borderId="0" xfId="0" applyNumberFormat="1" applyFont="1" applyFill="1" applyAlignment="1">
      <alignment vertical="center"/>
    </xf>
    <xf numFmtId="0" fontId="18" fillId="4" borderId="0" xfId="0" applyFont="1" applyFill="1" applyAlignment="1" applyProtection="1">
      <alignment horizontal="center" vertical="center"/>
      <protection locked="0"/>
    </xf>
    <xf numFmtId="0" fontId="54" fillId="0" borderId="33" xfId="0" applyFont="1" applyBorder="1" applyAlignment="1">
      <alignment vertical="center"/>
    </xf>
    <xf numFmtId="178" fontId="23" fillId="0" borderId="33" xfId="0" applyNumberFormat="1" applyFont="1" applyBorder="1" applyAlignment="1" applyProtection="1">
      <alignment horizontal="center" vertical="center"/>
      <protection locked="0"/>
    </xf>
    <xf numFmtId="171" fontId="54" fillId="26" borderId="33" xfId="0" applyNumberFormat="1" applyFont="1" applyFill="1" applyBorder="1" applyAlignment="1">
      <alignment horizontal="center" vertical="center"/>
    </xf>
    <xf numFmtId="0" fontId="53" fillId="0" borderId="33" xfId="0" applyFont="1" applyBorder="1" applyAlignment="1" applyProtection="1">
      <alignment vertical="center"/>
      <protection locked="0"/>
    </xf>
    <xf numFmtId="175" fontId="23" fillId="23" borderId="33" xfId="0" applyNumberFormat="1" applyFont="1" applyFill="1" applyBorder="1" applyAlignment="1">
      <alignment horizontal="center" vertical="center"/>
    </xf>
    <xf numFmtId="0" fontId="54" fillId="24" borderId="33" xfId="0" applyFont="1" applyFill="1" applyBorder="1" applyAlignment="1" applyProtection="1">
      <alignment vertical="center"/>
      <protection locked="0"/>
    </xf>
    <xf numFmtId="178" fontId="55" fillId="5" borderId="0" xfId="0" applyNumberFormat="1" applyFont="1" applyFill="1" applyAlignment="1" applyProtection="1">
      <alignment horizontal="center" vertical="center"/>
      <protection locked="0"/>
    </xf>
    <xf numFmtId="212" fontId="20" fillId="27" borderId="33" xfId="0" applyNumberFormat="1" applyFont="1" applyFill="1" applyBorder="1" applyAlignment="1" applyProtection="1">
      <alignment horizontal="center" vertical="center"/>
      <protection locked="0"/>
    </xf>
    <xf numFmtId="0" fontId="54" fillId="4" borderId="0" xfId="0" applyFont="1" applyFill="1" applyAlignment="1" applyProtection="1">
      <alignment vertical="center"/>
      <protection locked="0"/>
    </xf>
    <xf numFmtId="174" fontId="18" fillId="4" borderId="0" xfId="0" applyNumberFormat="1" applyFont="1" applyFill="1" applyAlignment="1" applyProtection="1">
      <alignment horizontal="right" vertical="center"/>
      <protection locked="0"/>
    </xf>
    <xf numFmtId="188" fontId="56" fillId="4" borderId="0" xfId="207" applyNumberFormat="1" applyFont="1" applyFill="1" applyAlignment="1" applyProtection="1">
      <alignment horizontal="center" vertical="center"/>
      <protection locked="0"/>
    </xf>
    <xf numFmtId="0" fontId="19" fillId="0" borderId="33" xfId="0" applyFont="1" applyBorder="1" applyAlignment="1">
      <alignment horizontal="left" vertical="center"/>
    </xf>
    <xf numFmtId="0" fontId="18" fillId="0" borderId="33" xfId="0" applyFont="1" applyBorder="1" applyAlignment="1" applyProtection="1">
      <alignment vertical="center"/>
      <protection locked="0"/>
    </xf>
    <xf numFmtId="172" fontId="18" fillId="0" borderId="33" xfId="0" applyNumberFormat="1" applyFont="1" applyBorder="1" applyAlignment="1">
      <alignment horizontal="center" vertical="center"/>
    </xf>
    <xf numFmtId="178" fontId="18" fillId="0" borderId="33" xfId="0" applyNumberFormat="1" applyFont="1" applyBorder="1" applyAlignment="1" applyProtection="1">
      <alignment horizontal="center" vertical="center"/>
      <protection locked="0"/>
    </xf>
    <xf numFmtId="178" fontId="22" fillId="0" borderId="33" xfId="96" applyNumberFormat="1" applyFont="1" applyBorder="1" applyAlignment="1">
      <alignment horizontal="center"/>
    </xf>
    <xf numFmtId="207" fontId="18" fillId="0" borderId="0" xfId="0" applyNumberFormat="1" applyFont="1" applyAlignment="1">
      <alignment horizontal="center" vertical="center"/>
    </xf>
    <xf numFmtId="213" fontId="18" fillId="0" borderId="33" xfId="0" applyNumberFormat="1" applyFont="1" applyBorder="1" applyAlignment="1">
      <alignment horizontal="center" vertical="center"/>
    </xf>
    <xf numFmtId="207" fontId="18" fillId="4" borderId="0" xfId="0" applyNumberFormat="1" applyFont="1" applyFill="1" applyAlignment="1">
      <alignment horizontal="center" vertical="center"/>
    </xf>
    <xf numFmtId="178" fontId="18" fillId="0" borderId="0" xfId="96" applyNumberFormat="1" applyFont="1" applyAlignment="1">
      <alignment horizontal="center"/>
    </xf>
    <xf numFmtId="212" fontId="18" fillId="0" borderId="0" xfId="0" applyNumberFormat="1" applyFont="1" applyAlignment="1">
      <alignment horizontal="center" vertical="center"/>
    </xf>
    <xf numFmtId="212" fontId="18" fillId="4" borderId="0" xfId="0" applyNumberFormat="1" applyFont="1" applyFill="1" applyAlignment="1">
      <alignment horizontal="center" vertical="center"/>
    </xf>
    <xf numFmtId="207" fontId="18" fillId="0" borderId="33" xfId="0" applyNumberFormat="1" applyFont="1" applyBorder="1" applyAlignment="1">
      <alignment horizontal="center" vertical="center"/>
    </xf>
    <xf numFmtId="198" fontId="23" fillId="0" borderId="33" xfId="0" applyNumberFormat="1" applyFont="1" applyBorder="1" applyAlignment="1">
      <alignment horizontal="center" vertical="center"/>
    </xf>
    <xf numFmtId="10" fontId="22" fillId="0" borderId="33" xfId="207" applyNumberFormat="1" applyFont="1" applyFill="1" applyBorder="1" applyAlignment="1">
      <alignment horizontal="center" vertical="center"/>
    </xf>
    <xf numFmtId="178" fontId="18" fillId="0" borderId="0" xfId="0" applyNumberFormat="1" applyFont="1" applyAlignment="1">
      <alignment horizontal="center" vertical="center"/>
    </xf>
    <xf numFmtId="174" fontId="18" fillId="4" borderId="0" xfId="0" applyNumberFormat="1" applyFont="1" applyFill="1" applyAlignment="1" applyProtection="1">
      <alignment horizontal="center" vertical="center"/>
      <protection locked="0"/>
    </xf>
    <xf numFmtId="214" fontId="18" fillId="0" borderId="33" xfId="0" applyNumberFormat="1" applyFont="1" applyBorder="1" applyAlignment="1">
      <alignment horizontal="center" vertical="center"/>
    </xf>
    <xf numFmtId="198" fontId="20" fillId="5" borderId="33" xfId="0" applyNumberFormat="1" applyFont="1" applyFill="1" applyBorder="1" applyAlignment="1">
      <alignment horizontal="center" vertical="center"/>
    </xf>
    <xf numFmtId="190" fontId="18" fillId="0" borderId="33" xfId="0" applyNumberFormat="1" applyFont="1" applyBorder="1" applyAlignment="1">
      <alignment horizontal="center" vertical="center"/>
    </xf>
    <xf numFmtId="10" fontId="56" fillId="4" borderId="0" xfId="207" applyNumberFormat="1" applyFont="1" applyFill="1" applyAlignment="1" applyProtection="1">
      <alignment horizontal="center" vertical="center"/>
      <protection locked="0"/>
    </xf>
    <xf numFmtId="210" fontId="18" fillId="0" borderId="33" xfId="0" applyNumberFormat="1" applyFont="1" applyBorder="1" applyAlignment="1">
      <alignment horizontal="center" vertical="center"/>
    </xf>
    <xf numFmtId="210" fontId="18" fillId="0" borderId="0" xfId="0" applyNumberFormat="1" applyFont="1" applyAlignment="1">
      <alignment horizontal="center" vertical="center"/>
    </xf>
    <xf numFmtId="210" fontId="18" fillId="4" borderId="0" xfId="0" applyNumberFormat="1" applyFont="1" applyFill="1" applyAlignment="1">
      <alignment horizontal="center" vertical="center"/>
    </xf>
    <xf numFmtId="171" fontId="23" fillId="23" borderId="33" xfId="0" applyNumberFormat="1" applyFont="1" applyFill="1" applyBorder="1" applyAlignment="1">
      <alignment horizontal="center" vertical="center"/>
    </xf>
    <xf numFmtId="212" fontId="18" fillId="0" borderId="33" xfId="0" applyNumberFormat="1" applyFont="1" applyBorder="1" applyAlignment="1">
      <alignment horizontal="center" vertical="center"/>
    </xf>
    <xf numFmtId="198" fontId="23" fillId="5" borderId="33" xfId="0" applyNumberFormat="1" applyFont="1" applyFill="1" applyBorder="1" applyAlignment="1">
      <alignment horizontal="center" vertical="center"/>
    </xf>
    <xf numFmtId="175" fontId="18" fillId="0" borderId="0" xfId="0" applyNumberFormat="1" applyFont="1" applyAlignment="1">
      <alignment horizontal="center" vertical="center"/>
    </xf>
    <xf numFmtId="175" fontId="18" fillId="4" borderId="0" xfId="0" applyNumberFormat="1" applyFont="1" applyFill="1" applyAlignment="1">
      <alignment horizontal="center" vertical="center"/>
    </xf>
    <xf numFmtId="172" fontId="18" fillId="0" borderId="0" xfId="0" applyNumberFormat="1" applyFont="1" applyAlignment="1">
      <alignment horizontal="center" vertical="center"/>
    </xf>
    <xf numFmtId="172" fontId="18" fillId="4" borderId="0" xfId="0" applyNumberFormat="1" applyFont="1" applyFill="1" applyAlignment="1">
      <alignment horizontal="center" vertical="center"/>
    </xf>
    <xf numFmtId="214" fontId="18" fillId="0" borderId="0" xfId="0" applyNumberFormat="1" applyFont="1" applyAlignment="1">
      <alignment horizontal="center" vertical="center"/>
    </xf>
    <xf numFmtId="214" fontId="18" fillId="4" borderId="0" xfId="0" applyNumberFormat="1" applyFont="1" applyFill="1" applyAlignment="1">
      <alignment horizontal="center" vertical="center"/>
    </xf>
    <xf numFmtId="0" fontId="19" fillId="4" borderId="33" xfId="0" applyFont="1" applyFill="1" applyBorder="1" applyAlignment="1" applyProtection="1">
      <alignment horizontal="center" vertical="center" wrapText="1"/>
      <protection locked="0"/>
    </xf>
    <xf numFmtId="0" fontId="46" fillId="4" borderId="0" xfId="0" applyFont="1" applyFill="1" applyAlignment="1" applyProtection="1">
      <alignment horizontal="center" vertical="center"/>
      <protection locked="0"/>
    </xf>
    <xf numFmtId="178" fontId="55" fillId="5" borderId="64" xfId="0" applyNumberFormat="1" applyFont="1" applyFill="1" applyBorder="1" applyAlignment="1" applyProtection="1">
      <alignment horizontal="center" vertical="center"/>
      <protection locked="0"/>
    </xf>
    <xf numFmtId="0" fontId="19" fillId="4" borderId="0" xfId="0" applyFont="1" applyFill="1" applyAlignment="1" applyProtection="1">
      <alignment horizontal="right" vertical="center"/>
      <protection locked="0"/>
    </xf>
    <xf numFmtId="215" fontId="18" fillId="4" borderId="0" xfId="0" applyNumberFormat="1" applyFont="1" applyFill="1" applyAlignment="1" applyProtection="1">
      <alignment horizontal="right" vertical="center"/>
      <protection locked="0"/>
    </xf>
    <xf numFmtId="178" fontId="18" fillId="0" borderId="33" xfId="48" applyNumberFormat="1" applyFont="1" applyFill="1" applyBorder="1" applyAlignment="1" applyProtection="1">
      <alignment horizontal="center" vertical="center"/>
      <protection locked="0"/>
    </xf>
    <xf numFmtId="0" fontId="22" fillId="0" borderId="33" xfId="0" applyFont="1" applyBorder="1" applyAlignment="1" applyProtection="1">
      <alignment horizontal="center" vertical="center"/>
      <protection locked="0"/>
    </xf>
    <xf numFmtId="178" fontId="18" fillId="0" borderId="33" xfId="96" applyNumberFormat="1" applyFont="1" applyBorder="1" applyAlignment="1">
      <alignment horizontal="center"/>
    </xf>
    <xf numFmtId="172" fontId="18" fillId="0" borderId="58" xfId="0" applyNumberFormat="1" applyFont="1" applyBorder="1" applyAlignment="1">
      <alignment horizontal="center" vertical="center"/>
    </xf>
    <xf numFmtId="178" fontId="55" fillId="22" borderId="58" xfId="0" applyNumberFormat="1" applyFont="1" applyFill="1" applyBorder="1" applyAlignment="1" applyProtection="1">
      <alignment horizontal="center" vertical="center"/>
      <protection locked="0"/>
    </xf>
    <xf numFmtId="0" fontId="18" fillId="0" borderId="0" xfId="0" applyFont="1" applyProtection="1">
      <protection locked="0"/>
    </xf>
    <xf numFmtId="0" fontId="19" fillId="4" borderId="0" xfId="0" applyFont="1" applyFill="1" applyAlignment="1" applyProtection="1">
      <alignment vertical="center"/>
      <protection locked="0"/>
    </xf>
    <xf numFmtId="178" fontId="18" fillId="0" borderId="33" xfId="0" applyNumberFormat="1" applyFont="1" applyBorder="1" applyAlignment="1" applyProtection="1">
      <alignment vertical="center"/>
      <protection locked="0"/>
    </xf>
    <xf numFmtId="0" fontId="18" fillId="4" borderId="0" xfId="0" applyFont="1" applyFill="1" applyProtection="1">
      <protection locked="0"/>
    </xf>
    <xf numFmtId="0" fontId="20" fillId="21" borderId="33" xfId="0" applyFont="1" applyFill="1" applyBorder="1" applyAlignment="1">
      <alignment horizontal="center" vertical="center"/>
    </xf>
    <xf numFmtId="0" fontId="19" fillId="4" borderId="0" xfId="0" applyFont="1" applyFill="1" applyAlignment="1" applyProtection="1">
      <alignment horizontal="right" vertical="center" wrapText="1"/>
      <protection locked="0"/>
    </xf>
    <xf numFmtId="0" fontId="22" fillId="4" borderId="0" xfId="0" applyFont="1" applyFill="1" applyAlignment="1" applyProtection="1">
      <alignment horizontal="center" vertical="center"/>
      <protection locked="0"/>
    </xf>
    <xf numFmtId="207" fontId="18" fillId="0" borderId="58" xfId="0" applyNumberFormat="1" applyFont="1" applyBorder="1" applyAlignment="1">
      <alignment vertical="center"/>
    </xf>
    <xf numFmtId="216" fontId="18" fillId="0" borderId="33" xfId="0" applyNumberFormat="1" applyFont="1" applyBorder="1" applyAlignment="1">
      <alignment horizontal="center" vertical="center"/>
    </xf>
    <xf numFmtId="217" fontId="18" fillId="0" borderId="33" xfId="0" applyNumberFormat="1" applyFont="1" applyBorder="1" applyAlignment="1">
      <alignment horizontal="center" vertical="center"/>
    </xf>
    <xf numFmtId="0" fontId="18" fillId="4" borderId="0" xfId="0" applyFont="1" applyFill="1" applyAlignment="1" applyProtection="1">
      <alignment horizontal="left" wrapText="1"/>
      <protection locked="0"/>
    </xf>
    <xf numFmtId="0" fontId="18" fillId="0" borderId="0" xfId="0" applyFont="1" applyAlignment="1" applyProtection="1">
      <alignment horizontal="left" wrapText="1"/>
      <protection locked="0"/>
    </xf>
    <xf numFmtId="178" fontId="55" fillId="0" borderId="33" xfId="0" applyNumberFormat="1" applyFont="1" applyBorder="1" applyAlignment="1">
      <alignment horizontal="center" vertical="center"/>
    </xf>
    <xf numFmtId="178" fontId="18" fillId="0" borderId="0" xfId="0" applyNumberFormat="1" applyFont="1" applyProtection="1">
      <protection locked="0"/>
    </xf>
    <xf numFmtId="184" fontId="18" fillId="0" borderId="58" xfId="0" applyNumberFormat="1" applyFont="1" applyBorder="1" applyAlignment="1">
      <alignment vertical="center"/>
    </xf>
    <xf numFmtId="203" fontId="18" fillId="4" borderId="0" xfId="0" applyNumberFormat="1" applyFont="1" applyFill="1" applyProtection="1">
      <protection locked="0"/>
    </xf>
    <xf numFmtId="178" fontId="18" fillId="4" borderId="0" xfId="0" applyNumberFormat="1" applyFont="1" applyFill="1" applyAlignment="1" applyProtection="1">
      <alignment horizontal="center"/>
      <protection locked="0"/>
    </xf>
    <xf numFmtId="188" fontId="18" fillId="4" borderId="0" xfId="207" applyNumberFormat="1" applyFont="1" applyFill="1" applyAlignment="1" applyProtection="1">
      <alignment horizontal="center"/>
      <protection locked="0"/>
    </xf>
    <xf numFmtId="0" fontId="18" fillId="4" borderId="0" xfId="0" applyFont="1" applyFill="1" applyAlignment="1" applyProtection="1">
      <alignment horizontal="center"/>
      <protection locked="0"/>
    </xf>
    <xf numFmtId="0" fontId="26" fillId="2" borderId="0" xfId="0" applyFont="1" applyFill="1" applyAlignment="1">
      <alignment horizontal="center"/>
    </xf>
    <xf numFmtId="0" fontId="26" fillId="0" borderId="59" xfId="0" applyFont="1" applyBorder="1"/>
    <xf numFmtId="0" fontId="26" fillId="0" borderId="0" xfId="0" applyFont="1" applyAlignment="1">
      <alignment horizontal="right"/>
    </xf>
    <xf numFmtId="44" fontId="0" fillId="0" borderId="0" xfId="0" applyNumberFormat="1"/>
    <xf numFmtId="0" fontId="26" fillId="0" borderId="59" xfId="0" applyFont="1" applyBorder="1" applyAlignment="1">
      <alignment horizontal="right"/>
    </xf>
    <xf numFmtId="0" fontId="26" fillId="29" borderId="0" xfId="0" applyFont="1" applyFill="1" applyAlignment="1">
      <alignment horizontal="center"/>
    </xf>
    <xf numFmtId="218" fontId="0" fillId="2" borderId="0" xfId="211" applyNumberFormat="1" applyFont="1" applyFill="1" applyAlignment="1"/>
    <xf numFmtId="218" fontId="0" fillId="0" borderId="0" xfId="211" applyNumberFormat="1" applyFont="1" applyAlignment="1"/>
    <xf numFmtId="178" fontId="58" fillId="0" borderId="33" xfId="0" applyNumberFormat="1" applyFont="1" applyBorder="1" applyAlignment="1" applyProtection="1">
      <alignment horizontal="center" vertical="center"/>
      <protection locked="0"/>
    </xf>
    <xf numFmtId="0" fontId="19" fillId="4" borderId="0" xfId="0" applyFont="1" applyFill="1" applyAlignment="1" applyProtection="1">
      <alignment horizontal="center" vertical="center" wrapText="1"/>
      <protection locked="0"/>
    </xf>
    <xf numFmtId="188" fontId="18" fillId="2" borderId="0" xfId="207" applyNumberFormat="1" applyFont="1" applyFill="1" applyAlignment="1" applyProtection="1">
      <alignment horizontal="center"/>
      <protection locked="0"/>
    </xf>
    <xf numFmtId="219" fontId="0" fillId="0" borderId="0" xfId="211" applyNumberFormat="1" applyFont="1" applyAlignment="1"/>
    <xf numFmtId="44" fontId="0" fillId="0" borderId="0" xfId="212" applyFont="1" applyBorder="1"/>
    <xf numFmtId="218" fontId="27" fillId="0" borderId="0" xfId="211" applyNumberFormat="1" applyFont="1" applyAlignment="1"/>
    <xf numFmtId="219" fontId="25" fillId="2" borderId="0" xfId="211" applyNumberFormat="1" applyFont="1" applyFill="1" applyAlignment="1"/>
    <xf numFmtId="178" fontId="0" fillId="0" borderId="59" xfId="212" applyNumberFormat="1" applyFont="1" applyBorder="1"/>
    <xf numFmtId="0" fontId="26" fillId="0" borderId="0" xfId="0" applyFont="1" applyAlignment="1">
      <alignment horizontal="left"/>
    </xf>
    <xf numFmtId="178" fontId="29" fillId="0" borderId="68" xfId="0" applyNumberFormat="1" applyFont="1" applyBorder="1" applyAlignment="1">
      <alignment horizontal="center" vertical="center"/>
    </xf>
    <xf numFmtId="0" fontId="26" fillId="33" borderId="59" xfId="0" applyFont="1" applyFill="1" applyBorder="1"/>
    <xf numFmtId="0" fontId="27" fillId="33" borderId="59" xfId="0" applyFont="1" applyFill="1" applyBorder="1"/>
    <xf numFmtId="221" fontId="0" fillId="0" borderId="0" xfId="212" applyNumberFormat="1" applyFont="1" applyBorder="1"/>
    <xf numFmtId="222" fontId="0" fillId="0" borderId="0" xfId="212" applyNumberFormat="1" applyFont="1" applyBorder="1" applyAlignment="1">
      <alignment horizontal="center"/>
    </xf>
    <xf numFmtId="222" fontId="0" fillId="0" borderId="0" xfId="212" applyNumberFormat="1" applyFont="1" applyBorder="1" applyAlignment="1">
      <alignment horizontal="center" vertical="center"/>
    </xf>
    <xf numFmtId="222" fontId="26" fillId="0" borderId="0" xfId="212" applyNumberFormat="1" applyFont="1" applyBorder="1" applyAlignment="1">
      <alignment horizontal="center"/>
    </xf>
    <xf numFmtId="223" fontId="26" fillId="0" borderId="0" xfId="212" applyNumberFormat="1" applyFont="1" applyBorder="1" applyAlignment="1">
      <alignment horizontal="center"/>
    </xf>
    <xf numFmtId="0" fontId="26" fillId="28" borderId="0" xfId="0" applyFont="1" applyFill="1" applyAlignment="1">
      <alignment horizontal="right"/>
    </xf>
    <xf numFmtId="224" fontId="0" fillId="0" borderId="0" xfId="0" applyNumberFormat="1" applyAlignment="1">
      <alignment horizontal="center"/>
    </xf>
    <xf numFmtId="43" fontId="25" fillId="2" borderId="0" xfId="211" applyFont="1" applyFill="1" applyAlignment="1">
      <alignment horizontal="center" vertical="center"/>
    </xf>
    <xf numFmtId="43" fontId="0" fillId="0" borderId="0" xfId="211" applyFont="1" applyAlignment="1">
      <alignment horizontal="center" vertical="center"/>
    </xf>
    <xf numFmtId="225" fontId="25" fillId="2" borderId="0" xfId="211" applyNumberFormat="1" applyFont="1" applyFill="1" applyAlignment="1"/>
    <xf numFmtId="225" fontId="0" fillId="0" borderId="0" xfId="211" applyNumberFormat="1" applyFont="1" applyAlignment="1"/>
    <xf numFmtId="0" fontId="31" fillId="26" borderId="50" xfId="0" applyFont="1" applyFill="1" applyBorder="1"/>
    <xf numFmtId="0" fontId="29" fillId="0" borderId="0" xfId="0" applyFont="1"/>
    <xf numFmtId="0" fontId="0" fillId="4" borderId="0" xfId="0" applyFill="1"/>
    <xf numFmtId="0" fontId="0" fillId="4" borderId="33" xfId="0" applyFill="1" applyBorder="1" applyAlignment="1">
      <alignment horizontal="center"/>
    </xf>
    <xf numFmtId="0" fontId="0" fillId="19" borderId="12" xfId="0" applyFill="1" applyBorder="1" applyAlignment="1">
      <alignment horizontal="centerContinuous" vertical="center" wrapText="1"/>
    </xf>
    <xf numFmtId="0" fontId="0" fillId="19" borderId="33" xfId="0" applyFill="1" applyBorder="1" applyAlignment="1">
      <alignment horizontal="centerContinuous" vertical="center" wrapText="1"/>
    </xf>
    <xf numFmtId="0" fontId="0" fillId="19" borderId="13" xfId="0" applyFill="1" applyBorder="1" applyAlignment="1">
      <alignment horizontal="centerContinuous" vertical="center" wrapText="1"/>
    </xf>
    <xf numFmtId="0" fontId="0" fillId="19" borderId="56" xfId="0" applyFill="1" applyBorder="1" applyAlignment="1">
      <alignment horizontal="centerContinuous" vertical="center" wrapText="1"/>
    </xf>
    <xf numFmtId="0" fontId="0" fillId="19" borderId="37" xfId="0" applyFill="1" applyBorder="1" applyAlignment="1">
      <alignment horizontal="centerContinuous" vertical="center" wrapText="1"/>
    </xf>
    <xf numFmtId="194" fontId="0" fillId="14" borderId="13" xfId="0" applyNumberFormat="1" applyFill="1" applyBorder="1" applyAlignment="1">
      <alignment horizontal="centerContinuous" vertical="center" wrapText="1"/>
    </xf>
    <xf numFmtId="0" fontId="0" fillId="13" borderId="56" xfId="0" applyFill="1" applyBorder="1" applyAlignment="1">
      <alignment horizontal="centerContinuous" vertical="center" wrapText="1"/>
    </xf>
    <xf numFmtId="0" fontId="0" fillId="13" borderId="37" xfId="0" applyFill="1" applyBorder="1" applyAlignment="1">
      <alignment horizontal="centerContinuous" vertical="center" wrapText="1"/>
    </xf>
    <xf numFmtId="195" fontId="26" fillId="12" borderId="31" xfId="0" applyNumberFormat="1" applyFont="1" applyFill="1" applyBorder="1" applyAlignment="1">
      <alignment horizontal="center" vertical="center" wrapText="1"/>
    </xf>
    <xf numFmtId="16" fontId="26" fillId="4" borderId="31" xfId="96" applyNumberFormat="1" applyFont="1" applyFill="1" applyBorder="1" applyAlignment="1">
      <alignment horizontal="center" vertical="center" wrapText="1"/>
    </xf>
    <xf numFmtId="2" fontId="0" fillId="19" borderId="12" xfId="0" applyNumberFormat="1" applyFill="1" applyBorder="1" applyAlignment="1">
      <alignment horizontal="centerContinuous" vertical="center" wrapText="1"/>
    </xf>
    <xf numFmtId="2" fontId="0" fillId="19" borderId="33" xfId="0" applyNumberFormat="1" applyFill="1" applyBorder="1" applyAlignment="1">
      <alignment horizontal="centerContinuous" vertical="center" wrapText="1"/>
    </xf>
    <xf numFmtId="194" fontId="42" fillId="17" borderId="13" xfId="0" applyNumberFormat="1" applyFont="1" applyFill="1" applyBorder="1" applyAlignment="1">
      <alignment vertical="center" wrapText="1"/>
    </xf>
    <xf numFmtId="0" fontId="0" fillId="13" borderId="12" xfId="0" applyFill="1" applyBorder="1" applyAlignment="1">
      <alignment horizontal="centerContinuous" vertical="center" wrapText="1"/>
    </xf>
    <xf numFmtId="0" fontId="0" fillId="13" borderId="33" xfId="0" applyFill="1" applyBorder="1" applyAlignment="1">
      <alignment horizontal="centerContinuous" vertical="center" wrapText="1"/>
    </xf>
    <xf numFmtId="194" fontId="43" fillId="20" borderId="13" xfId="0" applyNumberFormat="1" applyFont="1" applyFill="1" applyBorder="1" applyAlignment="1">
      <alignment vertical="center" wrapText="1"/>
    </xf>
    <xf numFmtId="194" fontId="0" fillId="14" borderId="30" xfId="0" applyNumberFormat="1" applyFill="1" applyBorder="1" applyAlignment="1">
      <alignment horizontal="centerContinuous" vertical="center" wrapText="1"/>
    </xf>
    <xf numFmtId="181" fontId="0" fillId="0" borderId="57" xfId="0" applyNumberFormat="1" applyBorder="1" applyAlignment="1">
      <alignment horizontal="center" vertical="center" wrapText="1"/>
    </xf>
    <xf numFmtId="181" fontId="0" fillId="0" borderId="27" xfId="0" applyNumberFormat="1" applyBorder="1" applyAlignment="1">
      <alignment horizontal="center" vertical="center" wrapText="1"/>
    </xf>
    <xf numFmtId="0" fontId="0" fillId="13" borderId="12" xfId="0" applyFill="1" applyBorder="1" applyAlignment="1">
      <alignment vertical="center" wrapText="1"/>
    </xf>
    <xf numFmtId="0" fontId="0" fillId="13" borderId="13" xfId="0" applyFill="1" applyBorder="1" applyAlignment="1">
      <alignment horizontal="centerContinuous" vertical="center" wrapText="1"/>
    </xf>
    <xf numFmtId="0" fontId="1" fillId="0" borderId="0" xfId="213"/>
    <xf numFmtId="0" fontId="26" fillId="0" borderId="0" xfId="213" applyFont="1" applyAlignment="1">
      <alignment horizontal="right"/>
    </xf>
    <xf numFmtId="0" fontId="26" fillId="35" borderId="70" xfId="213" applyFont="1" applyFill="1" applyBorder="1" applyAlignment="1">
      <alignment horizontal="centerContinuous"/>
    </xf>
    <xf numFmtId="0" fontId="26" fillId="35" borderId="71" xfId="213" applyFont="1" applyFill="1" applyBorder="1" applyAlignment="1">
      <alignment horizontal="centerContinuous"/>
    </xf>
    <xf numFmtId="0" fontId="26" fillId="35" borderId="72" xfId="213" applyFont="1" applyFill="1" applyBorder="1" applyAlignment="1">
      <alignment horizontal="centerContinuous"/>
    </xf>
    <xf numFmtId="0" fontId="26" fillId="14" borderId="41" xfId="213" applyFont="1" applyFill="1" applyBorder="1" applyAlignment="1">
      <alignment horizontal="centerContinuous"/>
    </xf>
    <xf numFmtId="0" fontId="26" fillId="14" borderId="42" xfId="213" applyFont="1" applyFill="1" applyBorder="1" applyAlignment="1">
      <alignment horizontal="centerContinuous"/>
    </xf>
    <xf numFmtId="0" fontId="26" fillId="14" borderId="35" xfId="213" applyFont="1" applyFill="1" applyBorder="1" applyAlignment="1">
      <alignment horizontal="centerContinuous"/>
    </xf>
    <xf numFmtId="0" fontId="1" fillId="0" borderId="0" xfId="213" applyAlignment="1">
      <alignment horizontal="center" vertical="center"/>
    </xf>
    <xf numFmtId="0" fontId="26" fillId="0" borderId="0" xfId="213" applyFont="1" applyAlignment="1">
      <alignment horizontal="right" vertical="center"/>
    </xf>
    <xf numFmtId="0" fontId="25" fillId="0" borderId="43" xfId="213" applyFont="1" applyBorder="1" applyAlignment="1">
      <alignment horizontal="center" vertical="center"/>
    </xf>
    <xf numFmtId="0" fontId="25" fillId="0" borderId="0" xfId="213" applyFont="1" applyAlignment="1">
      <alignment horizontal="center" vertical="center"/>
    </xf>
    <xf numFmtId="0" fontId="25" fillId="0" borderId="44" xfId="213" applyFont="1" applyBorder="1" applyAlignment="1">
      <alignment horizontal="center" vertical="center"/>
    </xf>
    <xf numFmtId="0" fontId="62" fillId="0" borderId="73" xfId="213" applyFont="1" applyBorder="1" applyAlignment="1">
      <alignment horizontal="center" vertical="center"/>
    </xf>
    <xf numFmtId="0" fontId="62" fillId="0" borderId="74" xfId="213" applyFont="1" applyBorder="1" applyAlignment="1">
      <alignment horizontal="center" vertical="center"/>
    </xf>
    <xf numFmtId="0" fontId="62" fillId="0" borderId="75" xfId="213" applyFont="1" applyBorder="1" applyAlignment="1">
      <alignment horizontal="center" vertical="center"/>
    </xf>
    <xf numFmtId="0" fontId="62" fillId="0" borderId="43" xfId="213" applyFont="1" applyBorder="1" applyAlignment="1">
      <alignment horizontal="center" vertical="center"/>
    </xf>
    <xf numFmtId="0" fontId="62" fillId="0" borderId="0" xfId="213" applyFont="1" applyAlignment="1">
      <alignment horizontal="center"/>
    </xf>
    <xf numFmtId="0" fontId="62" fillId="0" borderId="44" xfId="213" applyFont="1" applyBorder="1" applyAlignment="1">
      <alignment horizontal="center"/>
    </xf>
    <xf numFmtId="0" fontId="1" fillId="0" borderId="73" xfId="213" applyBorder="1" applyAlignment="1">
      <alignment horizontal="center" vertical="center"/>
    </xf>
    <xf numFmtId="0" fontId="1" fillId="0" borderId="74" xfId="213" applyBorder="1" applyAlignment="1">
      <alignment horizontal="center" vertical="center"/>
    </xf>
    <xf numFmtId="0" fontId="1" fillId="0" borderId="75" xfId="213" applyBorder="1" applyAlignment="1">
      <alignment horizontal="center" vertical="center"/>
    </xf>
    <xf numFmtId="0" fontId="1" fillId="0" borderId="43" xfId="213" applyBorder="1" applyAlignment="1">
      <alignment horizontal="center"/>
    </xf>
    <xf numFmtId="0" fontId="1" fillId="0" borderId="44" xfId="213" applyBorder="1" applyAlignment="1">
      <alignment horizontal="center" vertical="center"/>
    </xf>
    <xf numFmtId="0" fontId="1" fillId="0" borderId="0" xfId="213" applyAlignment="1">
      <alignment horizontal="center"/>
    </xf>
    <xf numFmtId="0" fontId="1" fillId="0" borderId="44" xfId="213" applyBorder="1" applyAlignment="1">
      <alignment horizontal="center"/>
    </xf>
    <xf numFmtId="182" fontId="1" fillId="0" borderId="73" xfId="213" applyNumberFormat="1" applyBorder="1" applyAlignment="1">
      <alignment horizontal="center" vertical="center"/>
    </xf>
    <xf numFmtId="182" fontId="1" fillId="0" borderId="74" xfId="213" applyNumberFormat="1" applyBorder="1" applyAlignment="1">
      <alignment horizontal="center" vertical="center"/>
    </xf>
    <xf numFmtId="182" fontId="1" fillId="0" borderId="75" xfId="213" applyNumberFormat="1" applyBorder="1" applyAlignment="1">
      <alignment horizontal="center" vertical="center"/>
    </xf>
    <xf numFmtId="0" fontId="1" fillId="0" borderId="43" xfId="213" applyBorder="1"/>
    <xf numFmtId="0" fontId="1" fillId="0" borderId="44" xfId="213" applyBorder="1"/>
    <xf numFmtId="232" fontId="1" fillId="0" borderId="76" xfId="213" applyNumberFormat="1" applyBorder="1" applyAlignment="1">
      <alignment horizontal="center" vertical="center"/>
    </xf>
    <xf numFmtId="232" fontId="1" fillId="0" borderId="77" xfId="213" applyNumberFormat="1" applyBorder="1" applyAlignment="1">
      <alignment horizontal="center" vertical="center"/>
    </xf>
    <xf numFmtId="232" fontId="1" fillId="0" borderId="78" xfId="213" applyNumberFormat="1" applyBorder="1" applyAlignment="1">
      <alignment horizontal="center" vertical="center"/>
    </xf>
    <xf numFmtId="233" fontId="1" fillId="0" borderId="43" xfId="213" applyNumberFormat="1" applyBorder="1" applyAlignment="1">
      <alignment horizontal="center" vertical="center"/>
    </xf>
    <xf numFmtId="233" fontId="1" fillId="0" borderId="0" xfId="213" applyNumberFormat="1" applyAlignment="1">
      <alignment horizontal="center"/>
    </xf>
    <xf numFmtId="234" fontId="1" fillId="0" borderId="44" xfId="213" applyNumberFormat="1" applyBorder="1" applyAlignment="1">
      <alignment horizontal="center"/>
    </xf>
    <xf numFmtId="236" fontId="1" fillId="0" borderId="82" xfId="213" applyNumberFormat="1" applyBorder="1" applyAlignment="1">
      <alignment horizontal="center" vertical="center"/>
    </xf>
    <xf numFmtId="236" fontId="1" fillId="0" borderId="83" xfId="213" applyNumberFormat="1" applyBorder="1" applyAlignment="1">
      <alignment horizontal="center" vertical="center"/>
    </xf>
    <xf numFmtId="236" fontId="1" fillId="0" borderId="84" xfId="213" applyNumberFormat="1" applyBorder="1" applyAlignment="1">
      <alignment horizontal="center" vertical="center"/>
    </xf>
    <xf numFmtId="237" fontId="1" fillId="0" borderId="41" xfId="213" applyNumberFormat="1" applyBorder="1" applyAlignment="1">
      <alignment horizontal="center" vertical="center"/>
    </xf>
    <xf numFmtId="237" fontId="1" fillId="0" borderId="0" xfId="213" applyNumberFormat="1" applyAlignment="1">
      <alignment horizontal="center"/>
    </xf>
    <xf numFmtId="235" fontId="1" fillId="0" borderId="44" xfId="213" applyNumberFormat="1" applyBorder="1" applyAlignment="1">
      <alignment horizontal="center"/>
    </xf>
    <xf numFmtId="184" fontId="1" fillId="0" borderId="76" xfId="213" applyNumberFormat="1" applyBorder="1" applyAlignment="1">
      <alignment horizontal="center" vertical="center"/>
    </xf>
    <xf numFmtId="184" fontId="1" fillId="0" borderId="77" xfId="213" applyNumberFormat="1" applyBorder="1" applyAlignment="1">
      <alignment horizontal="center" vertical="center"/>
    </xf>
    <xf numFmtId="184" fontId="1" fillId="0" borderId="78" xfId="213" applyNumberFormat="1" applyBorder="1" applyAlignment="1">
      <alignment horizontal="center" vertical="center"/>
    </xf>
    <xf numFmtId="178" fontId="1" fillId="36" borderId="85" xfId="213" applyNumberFormat="1" applyFill="1" applyBorder="1" applyAlignment="1">
      <alignment horizontal="centerContinuous" vertical="center"/>
    </xf>
    <xf numFmtId="184" fontId="1" fillId="36" borderId="86" xfId="213" applyNumberFormat="1" applyFill="1" applyBorder="1" applyAlignment="1">
      <alignment horizontal="centerContinuous" vertical="center"/>
    </xf>
    <xf numFmtId="184" fontId="1" fillId="36" borderId="87" xfId="213" applyNumberFormat="1" applyFill="1" applyBorder="1" applyAlignment="1">
      <alignment horizontal="centerContinuous" vertical="center"/>
    </xf>
    <xf numFmtId="239" fontId="1" fillId="0" borderId="43" xfId="213" applyNumberFormat="1" applyBorder="1"/>
    <xf numFmtId="240" fontId="1" fillId="0" borderId="44" xfId="213" applyNumberFormat="1" applyBorder="1" applyAlignment="1">
      <alignment horizontal="center"/>
    </xf>
    <xf numFmtId="0" fontId="1" fillId="0" borderId="93" xfId="213" applyBorder="1" applyAlignment="1">
      <alignment horizontal="center" vertical="center"/>
    </xf>
    <xf numFmtId="0" fontId="1" fillId="0" borderId="94" xfId="213" applyBorder="1" applyAlignment="1">
      <alignment horizontal="center" vertical="center"/>
    </xf>
    <xf numFmtId="0" fontId="1" fillId="0" borderId="95" xfId="213" applyBorder="1" applyAlignment="1">
      <alignment horizontal="center" vertical="center"/>
    </xf>
    <xf numFmtId="0" fontId="26" fillId="0" borderId="43" xfId="213" applyFont="1" applyBorder="1" applyAlignment="1">
      <alignment horizontal="center"/>
    </xf>
    <xf numFmtId="0" fontId="26" fillId="0" borderId="0" xfId="213" applyFont="1" applyAlignment="1">
      <alignment horizontal="center"/>
    </xf>
    <xf numFmtId="0" fontId="26" fillId="0" borderId="44" xfId="213" applyFont="1" applyBorder="1" applyAlignment="1">
      <alignment horizontal="center"/>
    </xf>
    <xf numFmtId="0" fontId="26" fillId="0" borderId="73" xfId="213" applyFont="1" applyBorder="1" applyAlignment="1">
      <alignment horizontal="center" vertical="center"/>
    </xf>
    <xf numFmtId="0" fontId="26" fillId="0" borderId="74" xfId="213" applyFont="1" applyBorder="1" applyAlignment="1">
      <alignment horizontal="center" vertical="center"/>
    </xf>
    <xf numFmtId="0" fontId="26" fillId="0" borderId="75" xfId="213" applyFont="1" applyBorder="1" applyAlignment="1">
      <alignment horizontal="center" vertical="center"/>
    </xf>
    <xf numFmtId="0" fontId="25" fillId="0" borderId="73" xfId="213" applyFont="1" applyBorder="1" applyAlignment="1">
      <alignment horizontal="center" vertical="center"/>
    </xf>
    <xf numFmtId="0" fontId="25" fillId="0" borderId="74" xfId="213" applyFont="1" applyBorder="1" applyAlignment="1">
      <alignment horizontal="center" vertical="center"/>
    </xf>
    <xf numFmtId="0" fontId="25" fillId="0" borderId="75" xfId="213" applyFont="1" applyBorder="1" applyAlignment="1">
      <alignment horizontal="center" vertical="center"/>
    </xf>
    <xf numFmtId="43" fontId="0" fillId="0" borderId="0" xfId="211" applyFont="1" applyAlignment="1"/>
    <xf numFmtId="178" fontId="29" fillId="0" borderId="103" xfId="0" applyNumberFormat="1" applyFont="1" applyBorder="1" applyAlignment="1">
      <alignment horizontal="center" vertical="center"/>
    </xf>
    <xf numFmtId="171" fontId="59" fillId="21" borderId="33" xfId="0" applyNumberFormat="1" applyFont="1" applyFill="1" applyBorder="1" applyAlignment="1" applyProtection="1">
      <alignment horizontal="center" vertical="center"/>
      <protection locked="0"/>
    </xf>
    <xf numFmtId="0" fontId="59" fillId="21" borderId="33" xfId="0" applyFont="1" applyFill="1" applyBorder="1" applyAlignment="1">
      <alignment vertical="center"/>
    </xf>
    <xf numFmtId="0" fontId="20" fillId="0" borderId="33" xfId="0" applyFont="1" applyBorder="1" applyAlignment="1">
      <alignment horizontal="left" vertical="center"/>
    </xf>
    <xf numFmtId="178" fontId="22" fillId="0" borderId="33" xfId="96" applyNumberFormat="1" applyFont="1" applyBorder="1" applyAlignment="1">
      <alignment horizontal="center" vertical="center"/>
    </xf>
    <xf numFmtId="178" fontId="18" fillId="0" borderId="33" xfId="96" applyNumberFormat="1" applyFont="1" applyBorder="1" applyAlignment="1">
      <alignment horizontal="center" vertical="center"/>
    </xf>
    <xf numFmtId="174" fontId="18" fillId="28" borderId="0" xfId="0" applyNumberFormat="1" applyFont="1" applyFill="1" applyAlignment="1" applyProtection="1">
      <alignment horizontal="center" vertical="center"/>
      <protection locked="0"/>
    </xf>
    <xf numFmtId="10" fontId="18" fillId="2" borderId="0" xfId="207" applyNumberFormat="1" applyFont="1" applyFill="1" applyAlignment="1" applyProtection="1">
      <alignment horizontal="center"/>
      <protection locked="0"/>
    </xf>
    <xf numFmtId="188" fontId="18" fillId="4" borderId="0" xfId="207" applyNumberFormat="1" applyFont="1" applyFill="1" applyAlignment="1" applyProtection="1">
      <alignment vertical="center"/>
      <protection locked="0"/>
    </xf>
    <xf numFmtId="4" fontId="18" fillId="4" borderId="97" xfId="0" applyNumberFormat="1" applyFont="1" applyFill="1" applyBorder="1" applyAlignment="1" applyProtection="1">
      <alignment vertical="center"/>
      <protection locked="0"/>
    </xf>
    <xf numFmtId="188" fontId="19" fillId="4" borderId="0" xfId="0" applyNumberFormat="1" applyFont="1" applyFill="1" applyAlignment="1" applyProtection="1">
      <alignment horizontal="right" vertical="center"/>
      <protection locked="0"/>
    </xf>
    <xf numFmtId="9" fontId="18" fillId="4" borderId="0" xfId="207" applyFont="1" applyFill="1" applyAlignment="1" applyProtection="1">
      <alignment vertical="center"/>
      <protection locked="0"/>
    </xf>
    <xf numFmtId="251" fontId="20" fillId="4" borderId="0" xfId="0" applyNumberFormat="1" applyFont="1" applyFill="1" applyAlignment="1" applyProtection="1">
      <alignment vertical="center"/>
      <protection locked="0"/>
    </xf>
    <xf numFmtId="10" fontId="19" fillId="4" borderId="0" xfId="0" applyNumberFormat="1" applyFont="1" applyFill="1" applyAlignment="1" applyProtection="1">
      <alignment horizontal="right" vertical="center"/>
      <protection locked="0"/>
    </xf>
    <xf numFmtId="2" fontId="18" fillId="4" borderId="0" xfId="207" applyNumberFormat="1" applyFont="1" applyFill="1" applyAlignment="1">
      <alignment horizontal="center" vertical="center"/>
    </xf>
    <xf numFmtId="10" fontId="18" fillId="4" borderId="0" xfId="207" applyNumberFormat="1" applyFont="1" applyFill="1" applyAlignment="1" applyProtection="1">
      <alignment vertical="center"/>
      <protection locked="0"/>
    </xf>
    <xf numFmtId="10" fontId="18" fillId="4" borderId="0" xfId="0" applyNumberFormat="1" applyFont="1" applyFill="1" applyAlignment="1" applyProtection="1">
      <alignment vertical="center"/>
      <protection locked="0"/>
    </xf>
    <xf numFmtId="178" fontId="21" fillId="0" borderId="33" xfId="0" applyNumberFormat="1" applyFont="1" applyBorder="1" applyAlignment="1" applyProtection="1">
      <alignment horizontal="center" vertical="center"/>
      <protection locked="0"/>
    </xf>
    <xf numFmtId="0" fontId="23" fillId="0" borderId="33" xfId="0" applyFont="1" applyBorder="1" applyAlignment="1">
      <alignment horizontal="left" vertical="center"/>
    </xf>
    <xf numFmtId="0" fontId="18" fillId="4" borderId="97" xfId="0" applyFont="1" applyFill="1" applyBorder="1" applyAlignment="1" applyProtection="1">
      <alignment vertical="center"/>
      <protection locked="0"/>
    </xf>
    <xf numFmtId="188" fontId="18" fillId="4" borderId="97" xfId="207" applyNumberFormat="1" applyFont="1" applyFill="1" applyBorder="1" applyAlignment="1" applyProtection="1">
      <alignment vertical="center"/>
      <protection locked="0"/>
    </xf>
    <xf numFmtId="2" fontId="18" fillId="4" borderId="0" xfId="0" applyNumberFormat="1" applyFont="1" applyFill="1" applyAlignment="1" applyProtection="1">
      <alignment vertical="center"/>
      <protection locked="0"/>
    </xf>
    <xf numFmtId="2" fontId="18" fillId="4" borderId="97" xfId="0" applyNumberFormat="1" applyFont="1" applyFill="1" applyBorder="1" applyAlignment="1" applyProtection="1">
      <alignment vertical="center"/>
      <protection locked="0"/>
    </xf>
    <xf numFmtId="2" fontId="18" fillId="0" borderId="0" xfId="0" applyNumberFormat="1" applyFont="1" applyAlignment="1" applyProtection="1">
      <alignment vertical="center"/>
      <protection locked="0"/>
    </xf>
    <xf numFmtId="9" fontId="18" fillId="4" borderId="97" xfId="207" applyFont="1" applyFill="1" applyBorder="1" applyAlignment="1" applyProtection="1">
      <alignment vertical="center"/>
      <protection locked="0"/>
    </xf>
    <xf numFmtId="252" fontId="20" fillId="4" borderId="0" xfId="0" applyNumberFormat="1" applyFont="1" applyFill="1" applyAlignment="1" applyProtection="1">
      <alignment vertical="center"/>
      <protection locked="0"/>
    </xf>
    <xf numFmtId="0" fontId="19" fillId="0" borderId="0" xfId="0" applyFont="1" applyAlignment="1" applyProtection="1">
      <alignment vertical="center"/>
      <protection locked="0"/>
    </xf>
    <xf numFmtId="0" fontId="19" fillId="0" borderId="0" xfId="0" applyFont="1" applyAlignment="1" applyProtection="1">
      <alignment horizontal="center" vertical="center" wrapText="1"/>
      <protection locked="0"/>
    </xf>
    <xf numFmtId="0" fontId="18" fillId="0" borderId="0" xfId="0" applyFont="1" applyAlignment="1" applyProtection="1">
      <alignment horizontal="center" vertical="center"/>
      <protection locked="0"/>
    </xf>
    <xf numFmtId="0" fontId="63" fillId="0" borderId="0" xfId="0" applyFont="1" applyAlignment="1" applyProtection="1">
      <alignment horizontal="center" vertical="center"/>
      <protection locked="0"/>
    </xf>
    <xf numFmtId="188" fontId="18" fillId="0" borderId="0" xfId="207" applyNumberFormat="1" applyFont="1" applyFill="1" applyAlignment="1" applyProtection="1">
      <alignment vertical="center"/>
      <protection locked="0"/>
    </xf>
    <xf numFmtId="215" fontId="18" fillId="0" borderId="0" xfId="0" applyNumberFormat="1" applyFont="1" applyAlignment="1" applyProtection="1">
      <alignment horizontal="right" vertical="center"/>
      <protection locked="0"/>
    </xf>
    <xf numFmtId="174" fontId="18" fillId="0" borderId="0" xfId="0" applyNumberFormat="1" applyFont="1" applyAlignment="1" applyProtection="1">
      <alignment horizontal="center" vertical="center"/>
      <protection locked="0"/>
    </xf>
    <xf numFmtId="0" fontId="19" fillId="0" borderId="0" xfId="0" applyFont="1" applyAlignment="1" applyProtection="1">
      <alignment horizontal="right" vertical="center"/>
      <protection locked="0"/>
    </xf>
    <xf numFmtId="177" fontId="18" fillId="0" borderId="0" xfId="0" applyNumberFormat="1" applyFont="1" applyAlignment="1" applyProtection="1">
      <alignment vertical="center"/>
      <protection locked="0"/>
    </xf>
    <xf numFmtId="251" fontId="22" fillId="0" borderId="0" xfId="0" applyNumberFormat="1" applyFont="1" applyAlignment="1" applyProtection="1">
      <alignment vertical="center"/>
      <protection locked="0"/>
    </xf>
    <xf numFmtId="188" fontId="19" fillId="0" borderId="0" xfId="0" applyNumberFormat="1" applyFont="1" applyAlignment="1" applyProtection="1">
      <alignment horizontal="right" vertical="center"/>
      <protection locked="0"/>
    </xf>
    <xf numFmtId="0" fontId="46" fillId="0" borderId="0" xfId="0" applyFont="1" applyAlignment="1" applyProtection="1">
      <alignment horizontal="center" vertical="center"/>
      <protection locked="0"/>
    </xf>
    <xf numFmtId="188" fontId="18" fillId="0" borderId="0" xfId="0" applyNumberFormat="1" applyFont="1" applyAlignment="1" applyProtection="1">
      <alignment vertical="center"/>
      <protection locked="0"/>
    </xf>
    <xf numFmtId="0" fontId="20" fillId="2" borderId="33" xfId="0" applyFont="1" applyFill="1" applyBorder="1" applyAlignment="1">
      <alignment horizontal="center" vertical="center"/>
    </xf>
    <xf numFmtId="0" fontId="19" fillId="2" borderId="33" xfId="0" applyFont="1" applyFill="1" applyBorder="1" applyAlignment="1">
      <alignment horizontal="left" vertical="center" wrapText="1"/>
    </xf>
    <xf numFmtId="171" fontId="59" fillId="2" borderId="33" xfId="0" applyNumberFormat="1" applyFont="1" applyFill="1" applyBorder="1" applyAlignment="1" applyProtection="1">
      <alignment horizontal="center" vertical="center"/>
      <protection locked="0"/>
    </xf>
    <xf numFmtId="0" fontId="59" fillId="2" borderId="33" xfId="0" applyFont="1" applyFill="1" applyBorder="1" applyAlignment="1">
      <alignment vertical="center"/>
    </xf>
    <xf numFmtId="0" fontId="54" fillId="2" borderId="33" xfId="0" applyFont="1" applyFill="1" applyBorder="1" applyAlignment="1">
      <alignment vertical="center"/>
    </xf>
    <xf numFmtId="178" fontId="23" fillId="2" borderId="33" xfId="0" applyNumberFormat="1" applyFont="1" applyFill="1" applyBorder="1" applyAlignment="1" applyProtection="1">
      <alignment horizontal="center" vertical="center"/>
      <protection locked="0"/>
    </xf>
    <xf numFmtId="171" fontId="54" fillId="2" borderId="33" xfId="0" applyNumberFormat="1" applyFont="1" applyFill="1" applyBorder="1" applyAlignment="1">
      <alignment horizontal="center" vertical="center"/>
    </xf>
    <xf numFmtId="0" fontId="19" fillId="2" borderId="33" xfId="0" applyFont="1" applyFill="1" applyBorder="1" applyAlignment="1" applyProtection="1">
      <alignment horizontal="left" vertical="center" wrapText="1"/>
      <protection locked="0"/>
    </xf>
    <xf numFmtId="2" fontId="26" fillId="0" borderId="0" xfId="0" applyNumberFormat="1" applyFont="1" applyAlignment="1">
      <alignment horizontal="center"/>
    </xf>
    <xf numFmtId="3" fontId="26" fillId="0" borderId="0" xfId="0" applyNumberFormat="1" applyFont="1"/>
    <xf numFmtId="184" fontId="26" fillId="0" borderId="0" xfId="0" applyNumberFormat="1" applyFont="1" applyAlignment="1">
      <alignment horizontal="center"/>
    </xf>
    <xf numFmtId="250" fontId="26" fillId="0" borderId="0" xfId="0" applyNumberFormat="1" applyFont="1" applyAlignment="1">
      <alignment horizontal="center"/>
    </xf>
    <xf numFmtId="4" fontId="26" fillId="0" borderId="0" xfId="0" applyNumberFormat="1" applyFont="1" applyAlignment="1">
      <alignment horizontal="center"/>
    </xf>
    <xf numFmtId="3" fontId="0" fillId="0" borderId="0" xfId="0" applyNumberFormat="1" applyAlignment="1">
      <alignment horizontal="center"/>
    </xf>
    <xf numFmtId="184" fontId="29" fillId="34" borderId="33" xfId="0" applyNumberFormat="1" applyFont="1" applyFill="1" applyBorder="1" applyAlignment="1">
      <alignment horizontal="center"/>
    </xf>
    <xf numFmtId="4" fontId="0" fillId="34" borderId="33" xfId="0" applyNumberFormat="1" applyFill="1" applyBorder="1" applyAlignment="1">
      <alignment horizontal="center"/>
    </xf>
    <xf numFmtId="184" fontId="29" fillId="0" borderId="33" xfId="0" applyNumberFormat="1" applyFont="1" applyBorder="1" applyAlignment="1">
      <alignment horizontal="center"/>
    </xf>
    <xf numFmtId="4" fontId="0" fillId="0" borderId="33" xfId="0" applyNumberFormat="1" applyBorder="1" applyAlignment="1">
      <alignment horizontal="center"/>
    </xf>
    <xf numFmtId="0" fontId="29" fillId="34" borderId="33" xfId="0" applyFont="1" applyFill="1" applyBorder="1" applyAlignment="1">
      <alignment horizontal="center"/>
    </xf>
    <xf numFmtId="173" fontId="0" fillId="0" borderId="33" xfId="0" applyNumberFormat="1" applyBorder="1" applyAlignment="1">
      <alignment horizontal="center" vertical="center"/>
    </xf>
    <xf numFmtId="188" fontId="26" fillId="0" borderId="0" xfId="207" applyNumberFormat="1" applyFont="1" applyAlignment="1">
      <alignment horizontal="center"/>
    </xf>
    <xf numFmtId="188" fontId="0" fillId="0" borderId="0" xfId="207" applyNumberFormat="1" applyFont="1"/>
    <xf numFmtId="172" fontId="0" fillId="0" borderId="0" xfId="0" applyNumberFormat="1"/>
    <xf numFmtId="184" fontId="0" fillId="0" borderId="0" xfId="0" applyNumberFormat="1"/>
    <xf numFmtId="177" fontId="0" fillId="0" borderId="0" xfId="0" applyNumberFormat="1"/>
    <xf numFmtId="10" fontId="26" fillId="0" borderId="0" xfId="207" applyNumberFormat="1" applyFont="1" applyAlignment="1">
      <alignment horizontal="center"/>
    </xf>
    <xf numFmtId="171" fontId="26" fillId="0" borderId="0" xfId="0" applyNumberFormat="1" applyFont="1" applyAlignment="1">
      <alignment horizontal="center"/>
    </xf>
    <xf numFmtId="173" fontId="0" fillId="2" borderId="0" xfId="0" applyNumberFormat="1" applyFill="1" applyAlignment="1">
      <alignment horizontal="center"/>
    </xf>
    <xf numFmtId="184" fontId="0" fillId="0" borderId="0" xfId="0" applyNumberFormat="1" applyAlignment="1">
      <alignment horizontal="center" vertical="center"/>
    </xf>
    <xf numFmtId="178" fontId="0" fillId="0" borderId="0" xfId="0" applyNumberFormat="1" applyAlignment="1">
      <alignment horizontal="center" vertical="center"/>
    </xf>
    <xf numFmtId="173" fontId="0" fillId="0" borderId="0" xfId="0" applyNumberFormat="1" applyAlignment="1">
      <alignment horizontal="center" vertical="center"/>
    </xf>
    <xf numFmtId="0" fontId="28" fillId="0" borderId="51" xfId="0" applyFont="1" applyBorder="1" applyAlignment="1">
      <alignment horizontal="center" vertical="center"/>
    </xf>
    <xf numFmtId="0" fontId="28" fillId="0" borderId="34" xfId="0" applyFont="1" applyBorder="1" applyAlignment="1">
      <alignment horizontal="center" vertical="center"/>
    </xf>
    <xf numFmtId="0" fontId="66" fillId="0" borderId="47" xfId="0" applyFont="1" applyBorder="1" applyAlignment="1">
      <alignment horizontal="center" vertical="center" wrapText="1"/>
    </xf>
    <xf numFmtId="0" fontId="28" fillId="0" borderId="34" xfId="0" applyFont="1" applyBorder="1" applyAlignment="1">
      <alignment horizontal="center" vertical="center" wrapText="1"/>
    </xf>
    <xf numFmtId="0" fontId="67" fillId="0" borderId="34" xfId="0" applyFont="1" applyBorder="1" applyAlignment="1">
      <alignment horizontal="center" vertical="center" wrapText="1"/>
    </xf>
    <xf numFmtId="0" fontId="67" fillId="0" borderId="52" xfId="0" applyFont="1" applyBorder="1" applyAlignment="1">
      <alignment horizontal="center" vertical="center" wrapText="1"/>
    </xf>
    <xf numFmtId="0" fontId="28" fillId="0" borderId="52" xfId="0" applyFont="1" applyBorder="1" applyAlignment="1">
      <alignment horizontal="center" vertical="center" wrapText="1"/>
    </xf>
    <xf numFmtId="0" fontId="0" fillId="0" borderId="4" xfId="0" applyBorder="1" applyAlignment="1">
      <alignment horizontal="center" vertical="center"/>
    </xf>
    <xf numFmtId="191" fontId="27" fillId="0" borderId="6" xfId="0" applyNumberFormat="1" applyFont="1" applyBorder="1" applyAlignment="1">
      <alignment horizontal="left"/>
    </xf>
    <xf numFmtId="0" fontId="29" fillId="0" borderId="6" xfId="0" applyFont="1" applyBorder="1" applyAlignment="1">
      <alignment horizontal="center"/>
    </xf>
    <xf numFmtId="0" fontId="0" fillId="0" borderId="6" xfId="0" applyBorder="1" applyAlignment="1">
      <alignment horizontal="center"/>
    </xf>
    <xf numFmtId="0" fontId="29" fillId="28" borderId="6" xfId="0" applyFont="1" applyFill="1" applyBorder="1" applyAlignment="1">
      <alignment horizontal="center"/>
    </xf>
    <xf numFmtId="184" fontId="29" fillId="0" borderId="6" xfId="0" applyNumberFormat="1" applyFont="1" applyBorder="1" applyAlignment="1">
      <alignment horizontal="center"/>
    </xf>
    <xf numFmtId="4" fontId="0" fillId="0" borderId="6" xfId="0" applyNumberFormat="1" applyBorder="1" applyAlignment="1">
      <alignment horizontal="center"/>
    </xf>
    <xf numFmtId="184" fontId="0" fillId="0" borderId="6" xfId="0" applyNumberFormat="1" applyBorder="1" applyAlignment="1">
      <alignment horizontal="center"/>
    </xf>
    <xf numFmtId="184" fontId="0" fillId="0" borderId="5" xfId="0" applyNumberFormat="1" applyBorder="1" applyAlignment="1">
      <alignment horizontal="center"/>
    </xf>
    <xf numFmtId="191" fontId="27" fillId="0" borderId="33" xfId="0" applyNumberFormat="1" applyFont="1" applyBorder="1" applyAlignment="1">
      <alignment horizontal="left"/>
    </xf>
    <xf numFmtId="184" fontId="0" fillId="0" borderId="33" xfId="0" applyNumberFormat="1" applyBorder="1" applyAlignment="1">
      <alignment horizontal="center"/>
    </xf>
    <xf numFmtId="184" fontId="0" fillId="0" borderId="13" xfId="0" applyNumberFormat="1" applyBorder="1" applyAlignment="1">
      <alignment horizontal="center"/>
    </xf>
    <xf numFmtId="4" fontId="0" fillId="24" borderId="33" xfId="0" applyNumberFormat="1" applyFill="1" applyBorder="1" applyAlignment="1">
      <alignment horizontal="center"/>
    </xf>
    <xf numFmtId="0" fontId="29" fillId="28" borderId="33" xfId="0" applyFont="1" applyFill="1" applyBorder="1" applyAlignment="1">
      <alignment horizontal="center"/>
    </xf>
    <xf numFmtId="4" fontId="0" fillId="33" borderId="33" xfId="0" applyNumberFormat="1" applyFill="1" applyBorder="1" applyAlignment="1">
      <alignment horizontal="center"/>
    </xf>
    <xf numFmtId="4" fontId="0" fillId="16" borderId="33" xfId="0" applyNumberFormat="1" applyFill="1" applyBorder="1" applyAlignment="1">
      <alignment horizontal="center"/>
    </xf>
    <xf numFmtId="4" fontId="0" fillId="9" borderId="33" xfId="0" applyNumberFormat="1" applyFill="1" applyBorder="1" applyAlignment="1">
      <alignment horizontal="center"/>
    </xf>
    <xf numFmtId="220" fontId="27" fillId="0" borderId="33" xfId="0" applyNumberFormat="1" applyFont="1" applyBorder="1" applyAlignment="1">
      <alignment horizontal="left"/>
    </xf>
    <xf numFmtId="191" fontId="27" fillId="0" borderId="69" xfId="0" applyNumberFormat="1" applyFont="1" applyBorder="1" applyAlignment="1">
      <alignment horizontal="left"/>
    </xf>
    <xf numFmtId="0" fontId="29" fillId="0" borderId="69" xfId="0" applyFont="1" applyBorder="1" applyAlignment="1">
      <alignment horizontal="center"/>
    </xf>
    <xf numFmtId="0" fontId="0" fillId="0" borderId="69" xfId="0" applyBorder="1" applyAlignment="1">
      <alignment horizontal="center"/>
    </xf>
    <xf numFmtId="184" fontId="29" fillId="0" borderId="69" xfId="0" applyNumberFormat="1" applyFont="1" applyBorder="1" applyAlignment="1">
      <alignment horizontal="center"/>
    </xf>
    <xf numFmtId="4" fontId="0" fillId="0" borderId="69" xfId="0" applyNumberFormat="1" applyBorder="1" applyAlignment="1">
      <alignment horizontal="center"/>
    </xf>
    <xf numFmtId="184" fontId="0" fillId="0" borderId="69" xfId="0" applyNumberFormat="1" applyBorder="1" applyAlignment="1">
      <alignment horizontal="center"/>
    </xf>
    <xf numFmtId="0" fontId="26" fillId="0" borderId="69" xfId="0" applyFont="1" applyBorder="1" applyAlignment="1">
      <alignment horizontal="center"/>
    </xf>
    <xf numFmtId="4" fontId="0" fillId="33" borderId="69" xfId="0" applyNumberFormat="1" applyFill="1" applyBorder="1" applyAlignment="1">
      <alignment horizontal="center"/>
    </xf>
    <xf numFmtId="4" fontId="0" fillId="9" borderId="69" xfId="0" applyNumberFormat="1" applyFill="1" applyBorder="1" applyAlignment="1">
      <alignment horizontal="center"/>
    </xf>
    <xf numFmtId="4" fontId="25" fillId="0" borderId="69" xfId="0" applyNumberFormat="1" applyFont="1" applyBorder="1" applyAlignment="1">
      <alignment horizontal="center"/>
    </xf>
    <xf numFmtId="250" fontId="29" fillId="0" borderId="69" xfId="0" applyNumberFormat="1" applyFont="1" applyBorder="1" applyAlignment="1">
      <alignment horizontal="center"/>
    </xf>
    <xf numFmtId="191" fontId="27" fillId="0" borderId="103" xfId="0" applyNumberFormat="1" applyFont="1" applyBorder="1" applyAlignment="1">
      <alignment horizontal="left"/>
    </xf>
    <xf numFmtId="0" fontId="29" fillId="0" borderId="103" xfId="0" applyFont="1" applyBorder="1" applyAlignment="1">
      <alignment horizontal="center"/>
    </xf>
    <xf numFmtId="0" fontId="0" fillId="0" borderId="103" xfId="0" applyBorder="1" applyAlignment="1">
      <alignment horizontal="center"/>
    </xf>
    <xf numFmtId="184" fontId="29" fillId="0" borderId="103" xfId="0" applyNumberFormat="1" applyFont="1" applyBorder="1" applyAlignment="1">
      <alignment horizontal="center"/>
    </xf>
    <xf numFmtId="4" fontId="0" fillId="0" borderId="103" xfId="0" applyNumberFormat="1" applyBorder="1" applyAlignment="1">
      <alignment horizontal="center"/>
    </xf>
    <xf numFmtId="184" fontId="0" fillId="0" borderId="103" xfId="0" applyNumberFormat="1" applyBorder="1" applyAlignment="1">
      <alignment horizontal="center"/>
    </xf>
    <xf numFmtId="191" fontId="27" fillId="0" borderId="104" xfId="0" applyNumberFormat="1" applyFont="1" applyBorder="1" applyAlignment="1">
      <alignment horizontal="left"/>
    </xf>
    <xf numFmtId="0" fontId="29" fillId="0" borderId="104" xfId="0" applyFont="1" applyBorder="1" applyAlignment="1">
      <alignment horizontal="center"/>
    </xf>
    <xf numFmtId="0" fontId="0" fillId="0" borderId="104" xfId="0" applyBorder="1" applyAlignment="1">
      <alignment horizontal="center"/>
    </xf>
    <xf numFmtId="184" fontId="29" fillId="0" borderId="104" xfId="0" applyNumberFormat="1" applyFont="1" applyBorder="1" applyAlignment="1">
      <alignment horizontal="center"/>
    </xf>
    <xf numFmtId="4" fontId="0" fillId="0" borderId="104" xfId="0" applyNumberFormat="1" applyBorder="1" applyAlignment="1">
      <alignment horizontal="center"/>
    </xf>
    <xf numFmtId="184" fontId="0" fillId="0" borderId="104" xfId="0" applyNumberFormat="1" applyBorder="1" applyAlignment="1">
      <alignment horizontal="center"/>
    </xf>
    <xf numFmtId="191" fontId="27" fillId="0" borderId="105" xfId="0" applyNumberFormat="1" applyFont="1" applyBorder="1" applyAlignment="1">
      <alignment horizontal="left"/>
    </xf>
    <xf numFmtId="0" fontId="29" fillId="0" borderId="105" xfId="0" applyFont="1" applyBorder="1" applyAlignment="1">
      <alignment horizontal="center"/>
    </xf>
    <xf numFmtId="0" fontId="0" fillId="0" borderId="105" xfId="0" applyBorder="1" applyAlignment="1">
      <alignment horizontal="center"/>
    </xf>
    <xf numFmtId="184" fontId="29" fillId="0" borderId="105" xfId="0" applyNumberFormat="1" applyFont="1" applyBorder="1" applyAlignment="1">
      <alignment horizontal="center"/>
    </xf>
    <xf numFmtId="4" fontId="0" fillId="0" borderId="105" xfId="0" applyNumberFormat="1" applyBorder="1" applyAlignment="1">
      <alignment horizontal="center"/>
    </xf>
    <xf numFmtId="184" fontId="0" fillId="0" borderId="105" xfId="0" applyNumberFormat="1" applyBorder="1" applyAlignment="1">
      <alignment horizontal="center"/>
    </xf>
    <xf numFmtId="191" fontId="27" fillId="0" borderId="106" xfId="0" applyNumberFormat="1" applyFont="1" applyBorder="1" applyAlignment="1">
      <alignment horizontal="left"/>
    </xf>
    <xf numFmtId="0" fontId="29" fillId="0" borderId="106" xfId="0" applyFont="1" applyBorder="1" applyAlignment="1">
      <alignment horizontal="center"/>
    </xf>
    <xf numFmtId="0" fontId="0" fillId="0" borderId="106" xfId="0" applyBorder="1" applyAlignment="1">
      <alignment horizontal="center"/>
    </xf>
    <xf numFmtId="184" fontId="29" fillId="0" borderId="106" xfId="0" applyNumberFormat="1" applyFont="1" applyBorder="1" applyAlignment="1">
      <alignment horizontal="center"/>
    </xf>
    <xf numFmtId="4" fontId="0" fillId="0" borderId="106" xfId="0" applyNumberFormat="1" applyBorder="1" applyAlignment="1">
      <alignment horizontal="center"/>
    </xf>
    <xf numFmtId="184" fontId="0" fillId="0" borderId="106" xfId="0" applyNumberFormat="1" applyBorder="1" applyAlignment="1">
      <alignment horizontal="center"/>
    </xf>
    <xf numFmtId="4" fontId="0" fillId="9" borderId="106" xfId="0" applyNumberFormat="1" applyFill="1" applyBorder="1" applyAlignment="1">
      <alignment horizontal="center"/>
    </xf>
    <xf numFmtId="4" fontId="0" fillId="33" borderId="106" xfId="0" applyNumberFormat="1" applyFill="1" applyBorder="1" applyAlignment="1">
      <alignment horizontal="center"/>
    </xf>
    <xf numFmtId="0" fontId="29" fillId="0" borderId="107" xfId="0" applyFont="1" applyBorder="1" applyAlignment="1">
      <alignment horizontal="center"/>
    </xf>
    <xf numFmtId="184" fontId="29" fillId="0" borderId="107" xfId="0" applyNumberFormat="1" applyFont="1" applyBorder="1" applyAlignment="1">
      <alignment horizontal="center"/>
    </xf>
    <xf numFmtId="4" fontId="0" fillId="0" borderId="107" xfId="0" applyNumberFormat="1" applyBorder="1" applyAlignment="1">
      <alignment horizontal="center"/>
    </xf>
    <xf numFmtId="184" fontId="0" fillId="0" borderId="107" xfId="0" applyNumberFormat="1" applyBorder="1" applyAlignment="1">
      <alignment horizontal="center"/>
    </xf>
    <xf numFmtId="0" fontId="0" fillId="0" borderId="107" xfId="0" applyBorder="1" applyAlignment="1">
      <alignment horizontal="center"/>
    </xf>
    <xf numFmtId="191" fontId="27" fillId="0" borderId="107" xfId="0" applyNumberFormat="1" applyFont="1" applyBorder="1" applyAlignment="1">
      <alignment horizontal="left"/>
    </xf>
    <xf numFmtId="0" fontId="29" fillId="0" borderId="108" xfId="0" applyFont="1" applyBorder="1" applyAlignment="1">
      <alignment horizontal="center"/>
    </xf>
    <xf numFmtId="184" fontId="29" fillId="0" borderId="108" xfId="0" applyNumberFormat="1" applyFont="1" applyBorder="1" applyAlignment="1">
      <alignment horizontal="center"/>
    </xf>
    <xf numFmtId="4" fontId="0" fillId="0" borderId="108" xfId="0" applyNumberFormat="1" applyBorder="1" applyAlignment="1">
      <alignment horizontal="center"/>
    </xf>
    <xf numFmtId="184" fontId="0" fillId="0" borderId="108" xfId="0" applyNumberFormat="1" applyBorder="1" applyAlignment="1">
      <alignment horizontal="center"/>
    </xf>
    <xf numFmtId="191" fontId="27" fillId="0" borderId="108" xfId="0" applyNumberFormat="1" applyFont="1" applyBorder="1" applyAlignment="1">
      <alignment horizontal="left"/>
    </xf>
    <xf numFmtId="0" fontId="0" fillId="0" borderId="108" xfId="0" applyBorder="1" applyAlignment="1">
      <alignment horizontal="center"/>
    </xf>
    <xf numFmtId="0" fontId="29" fillId="0" borderId="109" xfId="0" applyFont="1" applyBorder="1" applyAlignment="1">
      <alignment horizontal="center"/>
    </xf>
    <xf numFmtId="0" fontId="0" fillId="0" borderId="109" xfId="0" applyBorder="1" applyAlignment="1">
      <alignment horizontal="center"/>
    </xf>
    <xf numFmtId="184" fontId="29" fillId="0" borderId="109" xfId="0" applyNumberFormat="1" applyFont="1" applyBorder="1" applyAlignment="1">
      <alignment horizontal="center"/>
    </xf>
    <xf numFmtId="4" fontId="0" fillId="0" borderId="109" xfId="0" applyNumberFormat="1" applyBorder="1" applyAlignment="1">
      <alignment horizontal="center"/>
    </xf>
    <xf numFmtId="184" fontId="0" fillId="0" borderId="109" xfId="0" applyNumberFormat="1" applyBorder="1" applyAlignment="1">
      <alignment horizontal="center"/>
    </xf>
    <xf numFmtId="191" fontId="27" fillId="0" borderId="109" xfId="0" applyNumberFormat="1" applyFont="1" applyBorder="1" applyAlignment="1">
      <alignment horizontal="left"/>
    </xf>
    <xf numFmtId="0" fontId="29" fillId="0" borderId="110" xfId="0" applyFont="1" applyBorder="1" applyAlignment="1">
      <alignment horizontal="center"/>
    </xf>
    <xf numFmtId="0" fontId="0" fillId="0" borderId="110" xfId="0" applyBorder="1" applyAlignment="1">
      <alignment horizontal="center"/>
    </xf>
    <xf numFmtId="184" fontId="29" fillId="0" borderId="110" xfId="0" applyNumberFormat="1" applyFont="1" applyBorder="1" applyAlignment="1">
      <alignment horizontal="center"/>
    </xf>
    <xf numFmtId="4" fontId="0" fillId="0" borderId="110" xfId="0" applyNumberFormat="1" applyBorder="1" applyAlignment="1">
      <alignment horizontal="center"/>
    </xf>
    <xf numFmtId="184" fontId="0" fillId="0" borderId="110" xfId="0" applyNumberFormat="1" applyBorder="1" applyAlignment="1">
      <alignment horizontal="center"/>
    </xf>
    <xf numFmtId="4" fontId="0" fillId="33" borderId="110" xfId="0" applyNumberFormat="1" applyFill="1" applyBorder="1" applyAlignment="1">
      <alignment horizontal="center"/>
    </xf>
    <xf numFmtId="191" fontId="27" fillId="0" borderId="110" xfId="0" applyNumberFormat="1" applyFont="1" applyBorder="1" applyAlignment="1">
      <alignment horizontal="left"/>
    </xf>
    <xf numFmtId="0" fontId="29" fillId="0" borderId="111" xfId="0" applyFont="1" applyBorder="1" applyAlignment="1">
      <alignment horizontal="center"/>
    </xf>
    <xf numFmtId="0" fontId="0" fillId="0" borderId="111" xfId="0" applyBorder="1" applyAlignment="1">
      <alignment horizontal="center"/>
    </xf>
    <xf numFmtId="184" fontId="29" fillId="0" borderId="111" xfId="0" applyNumberFormat="1" applyFont="1" applyBorder="1" applyAlignment="1">
      <alignment horizontal="center"/>
    </xf>
    <xf numFmtId="4" fontId="0" fillId="0" borderId="111" xfId="0" applyNumberFormat="1" applyBorder="1" applyAlignment="1">
      <alignment horizontal="center"/>
    </xf>
    <xf numFmtId="184" fontId="0" fillId="0" borderId="111" xfId="0" applyNumberFormat="1" applyBorder="1" applyAlignment="1">
      <alignment horizontal="center"/>
    </xf>
    <xf numFmtId="191" fontId="27" fillId="0" borderId="111" xfId="0" applyNumberFormat="1" applyFont="1" applyBorder="1" applyAlignment="1">
      <alignment horizontal="left"/>
    </xf>
    <xf numFmtId="191" fontId="27" fillId="0" borderId="112" xfId="0" applyNumberFormat="1" applyFont="1" applyBorder="1" applyAlignment="1">
      <alignment horizontal="left"/>
    </xf>
    <xf numFmtId="0" fontId="29" fillId="0" borderId="112" xfId="0" applyFont="1" applyBorder="1" applyAlignment="1">
      <alignment horizontal="center"/>
    </xf>
    <xf numFmtId="0" fontId="0" fillId="0" borderId="112" xfId="0" applyBorder="1" applyAlignment="1">
      <alignment horizontal="center"/>
    </xf>
    <xf numFmtId="184" fontId="29" fillId="0" borderId="112" xfId="0" applyNumberFormat="1" applyFont="1" applyBorder="1" applyAlignment="1">
      <alignment horizontal="center"/>
    </xf>
    <xf numFmtId="4" fontId="0" fillId="0" borderId="112" xfId="0" applyNumberFormat="1" applyBorder="1" applyAlignment="1">
      <alignment horizontal="center"/>
    </xf>
    <xf numFmtId="184" fontId="0" fillId="0" borderId="112" xfId="0" applyNumberFormat="1" applyBorder="1" applyAlignment="1">
      <alignment horizontal="center"/>
    </xf>
    <xf numFmtId="0" fontId="29" fillId="0" borderId="113" xfId="0" applyFont="1" applyBorder="1" applyAlignment="1">
      <alignment horizontal="center"/>
    </xf>
    <xf numFmtId="0" fontId="0" fillId="0" borderId="113" xfId="0" applyBorder="1" applyAlignment="1">
      <alignment horizontal="center"/>
    </xf>
    <xf numFmtId="184" fontId="29" fillId="0" borderId="113" xfId="0" applyNumberFormat="1" applyFont="1" applyBorder="1" applyAlignment="1">
      <alignment horizontal="center"/>
    </xf>
    <xf numFmtId="4" fontId="0" fillId="0" borderId="113" xfId="0" applyNumberFormat="1" applyBorder="1" applyAlignment="1">
      <alignment horizontal="center"/>
    </xf>
    <xf numFmtId="184" fontId="0" fillId="0" borderId="113" xfId="0" applyNumberFormat="1" applyBorder="1" applyAlignment="1">
      <alignment horizontal="center"/>
    </xf>
    <xf numFmtId="191" fontId="27" fillId="0" borderId="113" xfId="0" applyNumberFormat="1" applyFont="1" applyBorder="1" applyAlignment="1">
      <alignment horizontal="left"/>
    </xf>
    <xf numFmtId="0" fontId="29" fillId="0" borderId="114" xfId="0" applyFont="1" applyBorder="1" applyAlignment="1">
      <alignment horizontal="center"/>
    </xf>
    <xf numFmtId="184" fontId="29" fillId="0" borderId="114" xfId="0" applyNumberFormat="1" applyFont="1" applyBorder="1" applyAlignment="1">
      <alignment horizontal="center"/>
    </xf>
    <xf numFmtId="4" fontId="0" fillId="0" borderId="114" xfId="0" applyNumberFormat="1" applyBorder="1" applyAlignment="1">
      <alignment horizontal="center"/>
    </xf>
    <xf numFmtId="184" fontId="0" fillId="0" borderId="114" xfId="0" applyNumberFormat="1" applyBorder="1" applyAlignment="1">
      <alignment horizontal="center"/>
    </xf>
    <xf numFmtId="0" fontId="0" fillId="0" borderId="114" xfId="0" applyBorder="1" applyAlignment="1">
      <alignment horizontal="center"/>
    </xf>
    <xf numFmtId="191" fontId="27" fillId="0" borderId="115" xfId="0" applyNumberFormat="1" applyFont="1" applyBorder="1" applyAlignment="1">
      <alignment horizontal="left"/>
    </xf>
    <xf numFmtId="0" fontId="29" fillId="0" borderId="115" xfId="0" applyFont="1" applyBorder="1" applyAlignment="1">
      <alignment horizontal="center"/>
    </xf>
    <xf numFmtId="0" fontId="0" fillId="0" borderId="115" xfId="0" applyBorder="1" applyAlignment="1">
      <alignment horizontal="center"/>
    </xf>
    <xf numFmtId="184" fontId="29" fillId="0" borderId="115" xfId="0" applyNumberFormat="1" applyFont="1" applyBorder="1" applyAlignment="1">
      <alignment horizontal="center"/>
    </xf>
    <xf numFmtId="4" fontId="0" fillId="0" borderId="115" xfId="0" applyNumberFormat="1" applyBorder="1" applyAlignment="1">
      <alignment horizontal="center"/>
    </xf>
    <xf numFmtId="184" fontId="0" fillId="0" borderId="115" xfId="0" applyNumberFormat="1" applyBorder="1" applyAlignment="1">
      <alignment horizontal="center"/>
    </xf>
    <xf numFmtId="0" fontId="29" fillId="0" borderId="116" xfId="0" applyFont="1" applyBorder="1" applyAlignment="1">
      <alignment horizontal="center"/>
    </xf>
    <xf numFmtId="0" fontId="0" fillId="0" borderId="116" xfId="0" applyBorder="1" applyAlignment="1">
      <alignment horizontal="center"/>
    </xf>
    <xf numFmtId="184" fontId="29" fillId="0" borderId="116" xfId="0" applyNumberFormat="1" applyFont="1" applyBorder="1" applyAlignment="1">
      <alignment horizontal="center"/>
    </xf>
    <xf numFmtId="4" fontId="0" fillId="0" borderId="116" xfId="0" applyNumberFormat="1" applyBorder="1" applyAlignment="1">
      <alignment horizontal="center"/>
    </xf>
    <xf numFmtId="184" fontId="0" fillId="0" borderId="116" xfId="0" applyNumberFormat="1" applyBorder="1" applyAlignment="1">
      <alignment horizontal="center"/>
    </xf>
    <xf numFmtId="4" fontId="0" fillId="33" borderId="116" xfId="0" applyNumberFormat="1" applyFill="1" applyBorder="1" applyAlignment="1">
      <alignment horizontal="center"/>
    </xf>
    <xf numFmtId="191" fontId="27" fillId="0" borderId="117" xfId="0" applyNumberFormat="1" applyFont="1" applyBorder="1" applyAlignment="1">
      <alignment horizontal="left"/>
    </xf>
    <xf numFmtId="0" fontId="29" fillId="0" borderId="117" xfId="0" applyFont="1" applyBorder="1" applyAlignment="1">
      <alignment horizontal="center"/>
    </xf>
    <xf numFmtId="0" fontId="0" fillId="0" borderId="117" xfId="0" applyBorder="1" applyAlignment="1">
      <alignment horizontal="center"/>
    </xf>
    <xf numFmtId="184" fontId="29" fillId="0" borderId="117" xfId="0" applyNumberFormat="1" applyFont="1" applyBorder="1" applyAlignment="1">
      <alignment horizontal="center"/>
    </xf>
    <xf numFmtId="4" fontId="0" fillId="0" borderId="117" xfId="0" applyNumberFormat="1" applyBorder="1" applyAlignment="1">
      <alignment horizontal="center"/>
    </xf>
    <xf numFmtId="184" fontId="0" fillId="0" borderId="117" xfId="0" applyNumberFormat="1" applyBorder="1" applyAlignment="1">
      <alignment horizontal="center"/>
    </xf>
    <xf numFmtId="0" fontId="29" fillId="0" borderId="118" xfId="0" applyFont="1" applyBorder="1" applyAlignment="1">
      <alignment horizontal="center"/>
    </xf>
    <xf numFmtId="0" fontId="0" fillId="0" borderId="118" xfId="0" applyBorder="1" applyAlignment="1">
      <alignment horizontal="center"/>
    </xf>
    <xf numFmtId="184" fontId="29" fillId="0" borderId="118" xfId="0" applyNumberFormat="1" applyFont="1" applyBorder="1" applyAlignment="1">
      <alignment horizontal="center"/>
    </xf>
    <xf numFmtId="4" fontId="0" fillId="0" borderId="118" xfId="0" applyNumberFormat="1" applyBorder="1" applyAlignment="1">
      <alignment horizontal="center"/>
    </xf>
    <xf numFmtId="184" fontId="0" fillId="0" borderId="118" xfId="0" applyNumberFormat="1" applyBorder="1" applyAlignment="1">
      <alignment horizontal="center"/>
    </xf>
    <xf numFmtId="191" fontId="27" fillId="0" borderId="118" xfId="0" applyNumberFormat="1" applyFont="1" applyBorder="1" applyAlignment="1">
      <alignment horizontal="left"/>
    </xf>
    <xf numFmtId="191" fontId="27" fillId="0" borderId="119" xfId="0" applyNumberFormat="1" applyFont="1" applyBorder="1" applyAlignment="1">
      <alignment horizontal="left"/>
    </xf>
    <xf numFmtId="0" fontId="29" fillId="0" borderId="119" xfId="0" applyFont="1" applyBorder="1" applyAlignment="1">
      <alignment horizontal="center"/>
    </xf>
    <xf numFmtId="0" fontId="0" fillId="0" borderId="119" xfId="0" applyBorder="1" applyAlignment="1">
      <alignment horizontal="center"/>
    </xf>
    <xf numFmtId="184" fontId="29" fillId="0" borderId="119" xfId="0" applyNumberFormat="1" applyFont="1" applyBorder="1" applyAlignment="1">
      <alignment horizontal="center"/>
    </xf>
    <xf numFmtId="4" fontId="0" fillId="0" borderId="119" xfId="0" applyNumberFormat="1" applyBorder="1" applyAlignment="1">
      <alignment horizontal="center"/>
    </xf>
    <xf numFmtId="191" fontId="27" fillId="0" borderId="120" xfId="0" applyNumberFormat="1" applyFont="1" applyBorder="1" applyAlignment="1">
      <alignment horizontal="left"/>
    </xf>
    <xf numFmtId="0" fontId="29" fillId="0" borderId="120" xfId="0" applyFont="1" applyBorder="1" applyAlignment="1">
      <alignment horizontal="center"/>
    </xf>
    <xf numFmtId="0" fontId="0" fillId="0" borderId="120" xfId="0" applyBorder="1" applyAlignment="1">
      <alignment horizontal="center"/>
    </xf>
    <xf numFmtId="184" fontId="29" fillId="0" borderId="120" xfId="0" applyNumberFormat="1" applyFont="1" applyBorder="1" applyAlignment="1">
      <alignment horizontal="center"/>
    </xf>
    <xf numFmtId="4" fontId="0" fillId="0" borderId="120" xfId="0" applyNumberFormat="1" applyBorder="1" applyAlignment="1">
      <alignment horizontal="center"/>
    </xf>
    <xf numFmtId="184" fontId="0" fillId="0" borderId="120" xfId="0" applyNumberFormat="1" applyBorder="1" applyAlignment="1">
      <alignment horizontal="center"/>
    </xf>
    <xf numFmtId="0" fontId="29" fillId="0" borderId="121" xfId="0" applyFont="1" applyBorder="1" applyAlignment="1">
      <alignment horizontal="center"/>
    </xf>
    <xf numFmtId="184" fontId="29" fillId="0" borderId="121" xfId="0" applyNumberFormat="1" applyFont="1" applyBorder="1" applyAlignment="1">
      <alignment horizontal="center"/>
    </xf>
    <xf numFmtId="4" fontId="0" fillId="0" borderId="121" xfId="0" applyNumberFormat="1" applyBorder="1" applyAlignment="1">
      <alignment horizontal="center"/>
    </xf>
    <xf numFmtId="184" fontId="0" fillId="0" borderId="121" xfId="0" applyNumberFormat="1" applyBorder="1" applyAlignment="1">
      <alignment horizontal="center"/>
    </xf>
    <xf numFmtId="0" fontId="0" fillId="0" borderId="121" xfId="0" applyBorder="1" applyAlignment="1">
      <alignment horizontal="center"/>
    </xf>
    <xf numFmtId="191" fontId="27" fillId="0" borderId="121" xfId="0" applyNumberFormat="1" applyFont="1" applyBorder="1" applyAlignment="1">
      <alignment horizontal="left"/>
    </xf>
    <xf numFmtId="0" fontId="29" fillId="0" borderId="122" xfId="0" applyFont="1" applyBorder="1" applyAlignment="1">
      <alignment horizontal="center"/>
    </xf>
    <xf numFmtId="0" fontId="0" fillId="0" borderId="122" xfId="0" applyBorder="1" applyAlignment="1">
      <alignment horizontal="center"/>
    </xf>
    <xf numFmtId="184" fontId="29" fillId="0" borderId="122" xfId="0" applyNumberFormat="1" applyFont="1" applyBorder="1" applyAlignment="1">
      <alignment horizontal="center"/>
    </xf>
    <xf numFmtId="4" fontId="0" fillId="0" borderId="122" xfId="0" applyNumberFormat="1" applyBorder="1" applyAlignment="1">
      <alignment horizontal="center"/>
    </xf>
    <xf numFmtId="184" fontId="0" fillId="0" borderId="122" xfId="0" applyNumberFormat="1" applyBorder="1" applyAlignment="1">
      <alignment horizontal="center"/>
    </xf>
    <xf numFmtId="191" fontId="27" fillId="0" borderId="122" xfId="0" applyNumberFormat="1" applyFont="1" applyBorder="1" applyAlignment="1">
      <alignment horizontal="left"/>
    </xf>
    <xf numFmtId="0" fontId="29" fillId="0" borderId="123" xfId="0" applyFont="1" applyBorder="1" applyAlignment="1">
      <alignment horizontal="center"/>
    </xf>
    <xf numFmtId="0" fontId="0" fillId="0" borderId="123" xfId="0" applyBorder="1" applyAlignment="1">
      <alignment horizontal="center"/>
    </xf>
    <xf numFmtId="184" fontId="29" fillId="0" borderId="123" xfId="0" applyNumberFormat="1" applyFont="1" applyBorder="1" applyAlignment="1">
      <alignment horizontal="center"/>
    </xf>
    <xf numFmtId="4" fontId="0" fillId="0" borderId="123" xfId="0" applyNumberFormat="1" applyBorder="1" applyAlignment="1">
      <alignment horizontal="center"/>
    </xf>
    <xf numFmtId="184" fontId="0" fillId="0" borderId="123" xfId="0" applyNumberFormat="1" applyBorder="1" applyAlignment="1">
      <alignment horizontal="center"/>
    </xf>
    <xf numFmtId="4" fontId="0" fillId="33" borderId="123" xfId="0" applyNumberFormat="1" applyFill="1" applyBorder="1" applyAlignment="1">
      <alignment horizontal="center"/>
    </xf>
    <xf numFmtId="191" fontId="27" fillId="0" borderId="123" xfId="0" applyNumberFormat="1" applyFont="1" applyBorder="1" applyAlignment="1">
      <alignment horizontal="left"/>
    </xf>
    <xf numFmtId="0" fontId="29" fillId="0" borderId="124" xfId="0" applyFont="1" applyBorder="1" applyAlignment="1">
      <alignment horizontal="center"/>
    </xf>
    <xf numFmtId="0" fontId="0" fillId="0" borderId="124" xfId="0" applyBorder="1" applyAlignment="1">
      <alignment horizontal="center"/>
    </xf>
    <xf numFmtId="184" fontId="29" fillId="0" borderId="124" xfId="0" applyNumberFormat="1" applyFont="1" applyBorder="1" applyAlignment="1">
      <alignment horizontal="center"/>
    </xf>
    <xf numFmtId="4" fontId="0" fillId="0" borderId="124" xfId="0" applyNumberFormat="1" applyBorder="1" applyAlignment="1">
      <alignment horizontal="center"/>
    </xf>
    <xf numFmtId="184" fontId="0" fillId="0" borderId="124" xfId="0" applyNumberFormat="1" applyBorder="1" applyAlignment="1">
      <alignment horizontal="center"/>
    </xf>
    <xf numFmtId="0" fontId="29" fillId="0" borderId="125" xfId="0" applyFont="1" applyBorder="1" applyAlignment="1">
      <alignment horizontal="center"/>
    </xf>
    <xf numFmtId="0" fontId="0" fillId="0" borderId="125" xfId="0" applyBorder="1" applyAlignment="1">
      <alignment horizontal="center"/>
    </xf>
    <xf numFmtId="184" fontId="29" fillId="0" borderId="125" xfId="0" applyNumberFormat="1" applyFont="1" applyBorder="1" applyAlignment="1">
      <alignment horizontal="center"/>
    </xf>
    <xf numFmtId="4" fontId="0" fillId="0" borderId="125" xfId="0" applyNumberFormat="1" applyBorder="1" applyAlignment="1">
      <alignment horizontal="center"/>
    </xf>
    <xf numFmtId="4" fontId="0" fillId="33" borderId="125" xfId="0" applyNumberFormat="1" applyFill="1" applyBorder="1" applyAlignment="1">
      <alignment horizontal="center"/>
    </xf>
    <xf numFmtId="184" fontId="0" fillId="0" borderId="125" xfId="0" applyNumberFormat="1" applyBorder="1" applyAlignment="1">
      <alignment horizontal="center"/>
    </xf>
    <xf numFmtId="184" fontId="0" fillId="0" borderId="126" xfId="0" applyNumberFormat="1" applyBorder="1" applyAlignment="1">
      <alignment horizontal="center"/>
    </xf>
    <xf numFmtId="191" fontId="27" fillId="0" borderId="125" xfId="0" applyNumberFormat="1" applyFont="1" applyBorder="1" applyAlignment="1">
      <alignment horizontal="left"/>
    </xf>
    <xf numFmtId="0" fontId="18" fillId="32" borderId="33" xfId="0" applyFont="1" applyFill="1" applyBorder="1" applyAlignment="1" applyProtection="1">
      <alignment vertical="center"/>
      <protection locked="0"/>
    </xf>
    <xf numFmtId="16" fontId="19" fillId="33" borderId="33" xfId="0" applyNumberFormat="1" applyFont="1" applyFill="1" applyBorder="1" applyAlignment="1" applyProtection="1">
      <alignment horizontal="center" vertical="center"/>
      <protection locked="0"/>
    </xf>
    <xf numFmtId="0" fontId="20" fillId="33" borderId="33" xfId="0" applyFont="1" applyFill="1" applyBorder="1" applyAlignment="1">
      <alignment horizontal="center" vertical="center"/>
    </xf>
    <xf numFmtId="0" fontId="19" fillId="33" borderId="33" xfId="0" applyFont="1" applyFill="1" applyBorder="1" applyAlignment="1">
      <alignment horizontal="left" vertical="center" wrapText="1"/>
    </xf>
    <xf numFmtId="171" fontId="59" fillId="33" borderId="33" xfId="0" applyNumberFormat="1" applyFont="1" applyFill="1" applyBorder="1" applyAlignment="1" applyProtection="1">
      <alignment horizontal="center" vertical="center"/>
      <protection locked="0"/>
    </xf>
    <xf numFmtId="0" fontId="59" fillId="33" borderId="33" xfId="0" applyFont="1" applyFill="1" applyBorder="1" applyAlignment="1">
      <alignment vertical="center"/>
    </xf>
    <xf numFmtId="0" fontId="54" fillId="33" borderId="33" xfId="0" applyFont="1" applyFill="1" applyBorder="1" applyAlignment="1">
      <alignment vertical="center"/>
    </xf>
    <xf numFmtId="0" fontId="19" fillId="33" borderId="33" xfId="0" applyFont="1" applyFill="1" applyBorder="1" applyAlignment="1" applyProtection="1">
      <alignment horizontal="left" vertical="center" wrapText="1"/>
      <protection locked="0"/>
    </xf>
    <xf numFmtId="178" fontId="53" fillId="33" borderId="33" xfId="0" applyNumberFormat="1" applyFont="1" applyFill="1" applyBorder="1" applyAlignment="1">
      <alignment horizontal="center" vertical="center"/>
    </xf>
    <xf numFmtId="178" fontId="53" fillId="2" borderId="33" xfId="0" applyNumberFormat="1" applyFont="1" applyFill="1" applyBorder="1" applyAlignment="1">
      <alignment horizontal="center" vertical="center"/>
    </xf>
    <xf numFmtId="0" fontId="63" fillId="21" borderId="33" xfId="0" applyFont="1" applyFill="1" applyBorder="1" applyAlignment="1">
      <alignment horizontal="left" vertical="center" wrapText="1"/>
    </xf>
    <xf numFmtId="0" fontId="54" fillId="21" borderId="33" xfId="0" applyFont="1" applyFill="1" applyBorder="1" applyAlignment="1">
      <alignment vertical="center"/>
    </xf>
    <xf numFmtId="212" fontId="22" fillId="0" borderId="33" xfId="0" applyNumberFormat="1" applyFont="1" applyBorder="1" applyAlignment="1">
      <alignment horizontal="center" vertical="center"/>
    </xf>
    <xf numFmtId="0" fontId="18" fillId="0" borderId="33" xfId="0" applyFont="1" applyBorder="1" applyAlignment="1">
      <alignment horizontal="left" vertical="center" wrapText="1"/>
    </xf>
    <xf numFmtId="0" fontId="18" fillId="0" borderId="33" xfId="0" applyFont="1" applyBorder="1" applyAlignment="1">
      <alignment horizontal="left" vertical="center"/>
    </xf>
    <xf numFmtId="177" fontId="0" fillId="0" borderId="0" xfId="0" applyNumberFormat="1" applyAlignment="1">
      <alignment horizontal="center" vertical="center"/>
    </xf>
    <xf numFmtId="0" fontId="27" fillId="2" borderId="0" xfId="0" applyFont="1" applyFill="1" applyAlignment="1">
      <alignment horizontal="center" vertical="center"/>
    </xf>
    <xf numFmtId="0" fontId="68" fillId="0" borderId="0" xfId="0" applyFont="1"/>
    <xf numFmtId="0" fontId="70" fillId="31" borderId="0" xfId="0" applyFont="1" applyFill="1" applyAlignment="1">
      <alignment vertical="center"/>
    </xf>
    <xf numFmtId="0" fontId="70" fillId="31" borderId="0" xfId="0" applyFont="1" applyFill="1" applyAlignment="1">
      <alignment horizontal="center" vertical="center"/>
    </xf>
    <xf numFmtId="16" fontId="71" fillId="31" borderId="0" xfId="0" applyNumberFormat="1" applyFont="1" applyFill="1" applyAlignment="1">
      <alignment horizontal="center" vertical="center"/>
    </xf>
    <xf numFmtId="0" fontId="70" fillId="31" borderId="0" xfId="96" applyFont="1" applyFill="1" applyAlignment="1">
      <alignment horizontal="center" vertical="center"/>
    </xf>
    <xf numFmtId="0" fontId="68" fillId="0" borderId="0" xfId="0" pivotButton="1" applyFont="1"/>
    <xf numFmtId="0" fontId="68" fillId="0" borderId="0" xfId="0" applyFont="1" applyAlignment="1">
      <alignment horizontal="center" vertical="center"/>
    </xf>
    <xf numFmtId="15" fontId="0" fillId="0" borderId="6" xfId="0" applyNumberFormat="1" applyBorder="1" applyAlignment="1">
      <alignment horizontal="center"/>
    </xf>
    <xf numFmtId="15" fontId="0" fillId="0" borderId="33" xfId="0" applyNumberFormat="1" applyBorder="1" applyAlignment="1">
      <alignment horizontal="center"/>
    </xf>
    <xf numFmtId="15" fontId="0" fillId="0" borderId="69" xfId="0" applyNumberFormat="1" applyBorder="1" applyAlignment="1">
      <alignment horizontal="center"/>
    </xf>
    <xf numFmtId="15" fontId="0" fillId="0" borderId="103" xfId="0" applyNumberFormat="1" applyBorder="1" applyAlignment="1">
      <alignment horizontal="center"/>
    </xf>
    <xf numFmtId="15" fontId="0" fillId="0" borderId="104" xfId="0" applyNumberFormat="1" applyBorder="1" applyAlignment="1">
      <alignment horizontal="center"/>
    </xf>
    <xf numFmtId="15" fontId="0" fillId="0" borderId="105" xfId="0" applyNumberFormat="1" applyBorder="1" applyAlignment="1">
      <alignment horizontal="center"/>
    </xf>
    <xf numFmtId="15" fontId="0" fillId="0" borderId="106" xfId="0" applyNumberFormat="1" applyBorder="1" applyAlignment="1">
      <alignment horizontal="center"/>
    </xf>
    <xf numFmtId="15" fontId="0" fillId="0" borderId="107" xfId="0" applyNumberFormat="1" applyBorder="1" applyAlignment="1">
      <alignment horizontal="center"/>
    </xf>
    <xf numFmtId="15" fontId="0" fillId="0" borderId="108" xfId="0" applyNumberFormat="1" applyBorder="1" applyAlignment="1">
      <alignment horizontal="center"/>
    </xf>
    <xf numFmtId="15" fontId="0" fillId="0" borderId="109" xfId="0" applyNumberFormat="1" applyBorder="1" applyAlignment="1">
      <alignment horizontal="center"/>
    </xf>
    <xf numFmtId="15" fontId="0" fillId="0" borderId="110" xfId="0" applyNumberFormat="1" applyBorder="1" applyAlignment="1">
      <alignment horizontal="center"/>
    </xf>
    <xf numFmtId="15" fontId="0" fillId="0" borderId="111" xfId="0" applyNumberFormat="1" applyBorder="1" applyAlignment="1">
      <alignment horizontal="center"/>
    </xf>
    <xf numFmtId="15" fontId="0" fillId="0" borderId="112" xfId="0" applyNumberFormat="1" applyBorder="1" applyAlignment="1">
      <alignment horizontal="center"/>
    </xf>
    <xf numFmtId="15" fontId="0" fillId="0" borderId="113" xfId="0" applyNumberFormat="1" applyBorder="1" applyAlignment="1">
      <alignment horizontal="center"/>
    </xf>
    <xf numFmtId="15" fontId="0" fillId="0" borderId="114" xfId="0" applyNumberFormat="1" applyBorder="1" applyAlignment="1">
      <alignment horizontal="center"/>
    </xf>
    <xf numFmtId="15" fontId="0" fillId="0" borderId="115" xfId="0" applyNumberFormat="1" applyBorder="1" applyAlignment="1">
      <alignment horizontal="center"/>
    </xf>
    <xf numFmtId="15" fontId="0" fillId="0" borderId="116" xfId="0" applyNumberFormat="1" applyBorder="1" applyAlignment="1">
      <alignment horizontal="center"/>
    </xf>
    <xf numFmtId="15" fontId="0" fillId="0" borderId="117" xfId="0" applyNumberFormat="1" applyBorder="1" applyAlignment="1">
      <alignment horizontal="center"/>
    </xf>
    <xf numFmtId="15" fontId="0" fillId="0" borderId="118" xfId="0" applyNumberFormat="1" applyBorder="1" applyAlignment="1">
      <alignment horizontal="center"/>
    </xf>
    <xf numFmtId="15" fontId="0" fillId="0" borderId="119" xfId="0" applyNumberFormat="1" applyBorder="1" applyAlignment="1">
      <alignment horizontal="center"/>
    </xf>
    <xf numFmtId="15" fontId="0" fillId="0" borderId="120" xfId="0" applyNumberFormat="1" applyBorder="1" applyAlignment="1">
      <alignment horizontal="center"/>
    </xf>
    <xf numFmtId="15" fontId="0" fillId="0" borderId="121" xfId="0" applyNumberFormat="1" applyBorder="1" applyAlignment="1">
      <alignment horizontal="center"/>
    </xf>
    <xf numFmtId="15" fontId="0" fillId="0" borderId="122" xfId="0" applyNumberFormat="1" applyBorder="1" applyAlignment="1">
      <alignment horizontal="center"/>
    </xf>
    <xf numFmtId="15" fontId="0" fillId="0" borderId="123" xfId="0" applyNumberFormat="1" applyBorder="1" applyAlignment="1">
      <alignment horizontal="center"/>
    </xf>
    <xf numFmtId="15" fontId="0" fillId="0" borderId="124" xfId="0" applyNumberFormat="1" applyBorder="1" applyAlignment="1">
      <alignment horizontal="center"/>
    </xf>
    <xf numFmtId="15" fontId="0" fillId="0" borderId="125" xfId="0" applyNumberFormat="1" applyBorder="1" applyAlignment="1">
      <alignment horizontal="center"/>
    </xf>
    <xf numFmtId="0" fontId="72" fillId="0" borderId="0" xfId="0" applyFont="1" applyAlignment="1">
      <alignment horizontal="left"/>
    </xf>
    <xf numFmtId="0" fontId="68" fillId="0" borderId="0" xfId="0" applyFont="1" applyAlignment="1">
      <alignment horizontal="left"/>
    </xf>
    <xf numFmtId="0" fontId="68" fillId="0" borderId="0" xfId="0" pivotButton="1" applyFont="1" applyAlignment="1">
      <alignment horizontal="center" vertical="center"/>
    </xf>
    <xf numFmtId="0" fontId="0" fillId="0" borderId="0" xfId="0" pivotButton="1" applyAlignment="1">
      <alignment horizontal="center" vertical="center"/>
    </xf>
    <xf numFmtId="0" fontId="68" fillId="0" borderId="0" xfId="0" applyFont="1" applyAlignment="1">
      <alignment horizontal="center" vertical="center" wrapText="1"/>
    </xf>
    <xf numFmtId="0" fontId="73" fillId="31" borderId="0" xfId="0" applyFont="1" applyFill="1" applyAlignment="1">
      <alignment vertical="center"/>
    </xf>
    <xf numFmtId="0" fontId="70" fillId="31" borderId="0" xfId="0" applyFont="1" applyFill="1" applyAlignment="1">
      <alignment horizontal="right" vertical="center"/>
    </xf>
    <xf numFmtId="16" fontId="71" fillId="31" borderId="0" xfId="0" applyNumberFormat="1" applyFont="1" applyFill="1" applyAlignment="1">
      <alignment horizontal="centerContinuous" vertical="center"/>
    </xf>
    <xf numFmtId="16" fontId="70" fillId="31" borderId="0" xfId="96" applyNumberFormat="1" applyFont="1" applyFill="1" applyAlignment="1">
      <alignment horizontal="center" vertical="center"/>
    </xf>
    <xf numFmtId="195" fontId="0" fillId="0" borderId="33" xfId="96" applyNumberFormat="1" applyFont="1" applyBorder="1" applyAlignment="1">
      <alignment horizontal="center" vertical="center"/>
    </xf>
    <xf numFmtId="177" fontId="68" fillId="0" borderId="0" xfId="0" applyNumberFormat="1" applyFont="1" applyAlignment="1">
      <alignment horizontal="center" vertical="center"/>
    </xf>
    <xf numFmtId="177" fontId="72" fillId="2" borderId="0" xfId="0" applyNumberFormat="1" applyFont="1" applyFill="1" applyAlignment="1">
      <alignment horizontal="center" vertical="center"/>
    </xf>
    <xf numFmtId="175" fontId="74" fillId="0" borderId="33" xfId="0" applyNumberFormat="1" applyFont="1" applyBorder="1" applyAlignment="1">
      <alignment horizontal="center" vertical="center"/>
    </xf>
    <xf numFmtId="172" fontId="74" fillId="0" borderId="33" xfId="0" applyNumberFormat="1" applyFont="1" applyBorder="1" applyAlignment="1">
      <alignment horizontal="center" vertical="center"/>
    </xf>
    <xf numFmtId="192" fontId="74" fillId="0" borderId="33" xfId="0" applyNumberFormat="1" applyFont="1" applyBorder="1" applyAlignment="1">
      <alignment horizontal="center" vertical="center"/>
    </xf>
    <xf numFmtId="183" fontId="74" fillId="0" borderId="33" xfId="0" applyNumberFormat="1" applyFont="1" applyBorder="1" applyAlignment="1">
      <alignment horizontal="center" vertical="center"/>
    </xf>
    <xf numFmtId="211" fontId="74" fillId="0" borderId="33" xfId="0" applyNumberFormat="1" applyFont="1" applyBorder="1" applyAlignment="1">
      <alignment horizontal="center" vertical="center"/>
    </xf>
    <xf numFmtId="207" fontId="74" fillId="0" borderId="33" xfId="0" applyNumberFormat="1" applyFont="1" applyBorder="1" applyAlignment="1">
      <alignment horizontal="center" vertical="center"/>
    </xf>
    <xf numFmtId="0" fontId="77" fillId="0" borderId="0" xfId="0" applyFont="1" applyAlignment="1">
      <alignment vertical="center" wrapText="1"/>
    </xf>
    <xf numFmtId="0" fontId="78" fillId="0" borderId="0" xfId="0" applyFont="1" applyAlignment="1">
      <alignment horizontal="center" vertical="center" wrapText="1"/>
    </xf>
    <xf numFmtId="0" fontId="77" fillId="0" borderId="0" xfId="0" applyFont="1" applyAlignment="1">
      <alignment horizontal="left" vertical="center"/>
    </xf>
    <xf numFmtId="0" fontId="77" fillId="0" borderId="0" xfId="0" applyFont="1" applyAlignment="1">
      <alignment horizontal="center" vertical="center"/>
    </xf>
    <xf numFmtId="0" fontId="77" fillId="0" borderId="0" xfId="0" applyFont="1" applyAlignment="1">
      <alignment vertical="center"/>
    </xf>
    <xf numFmtId="0" fontId="77" fillId="0" borderId="0" xfId="0" applyFont="1" applyAlignment="1">
      <alignment horizontal="center"/>
    </xf>
    <xf numFmtId="4" fontId="77" fillId="0" borderId="0" xfId="0" applyNumberFormat="1" applyFont="1" applyAlignment="1">
      <alignment vertical="center"/>
    </xf>
    <xf numFmtId="177" fontId="77" fillId="0" borderId="0" xfId="0" applyNumberFormat="1" applyFont="1" applyAlignment="1">
      <alignment horizontal="center" vertical="center"/>
    </xf>
    <xf numFmtId="4" fontId="77" fillId="0" borderId="0" xfId="0" applyNumberFormat="1" applyFont="1" applyAlignment="1">
      <alignment horizontal="center" vertical="center"/>
    </xf>
    <xf numFmtId="184" fontId="78" fillId="0" borderId="0" xfId="0" applyNumberFormat="1" applyFont="1" applyAlignment="1">
      <alignment horizontal="center" vertical="center"/>
    </xf>
    <xf numFmtId="0" fontId="78" fillId="0" borderId="33" xfId="0" applyFont="1" applyBorder="1" applyAlignment="1">
      <alignment vertical="center" wrapText="1"/>
    </xf>
    <xf numFmtId="0" fontId="76" fillId="40" borderId="33" xfId="0" applyFont="1" applyFill="1" applyBorder="1" applyAlignment="1">
      <alignment horizontal="center" vertical="center" wrapText="1"/>
    </xf>
    <xf numFmtId="0" fontId="79" fillId="40" borderId="33" xfId="0" applyFont="1" applyFill="1" applyBorder="1" applyAlignment="1">
      <alignment horizontal="left" vertical="center"/>
    </xf>
    <xf numFmtId="0" fontId="79" fillId="40" borderId="33" xfId="0" applyFont="1" applyFill="1" applyBorder="1" applyAlignment="1">
      <alignment horizontal="center" vertical="center" wrapText="1"/>
    </xf>
    <xf numFmtId="0" fontId="80" fillId="40" borderId="33" xfId="0" applyFont="1" applyFill="1" applyBorder="1" applyAlignment="1">
      <alignment horizontal="center" vertical="center" wrapText="1"/>
    </xf>
    <xf numFmtId="0" fontId="81" fillId="40" borderId="33" xfId="0" applyFont="1" applyFill="1" applyBorder="1" applyAlignment="1">
      <alignment horizontal="center" vertical="center" wrapText="1"/>
    </xf>
    <xf numFmtId="0" fontId="77" fillId="0" borderId="33" xfId="0" applyFont="1" applyBorder="1" applyAlignment="1">
      <alignment horizontal="center" vertical="center" wrapText="1"/>
    </xf>
    <xf numFmtId="0" fontId="78" fillId="0" borderId="33" xfId="0" applyFont="1" applyBorder="1" applyAlignment="1">
      <alignment horizontal="left" vertical="center"/>
    </xf>
    <xf numFmtId="0" fontId="78" fillId="0" borderId="33" xfId="0" applyFont="1" applyBorder="1" applyAlignment="1">
      <alignment horizontal="center" vertical="center"/>
    </xf>
    <xf numFmtId="0" fontId="77" fillId="0" borderId="33" xfId="0" applyFont="1" applyBorder="1" applyAlignment="1">
      <alignment vertical="center"/>
    </xf>
    <xf numFmtId="0" fontId="78" fillId="4" borderId="33" xfId="0" applyFont="1" applyFill="1" applyBorder="1" applyAlignment="1">
      <alignment horizontal="center"/>
    </xf>
    <xf numFmtId="183" fontId="77" fillId="0" borderId="33" xfId="0" applyNumberFormat="1" applyFont="1" applyBorder="1" applyAlignment="1">
      <alignment vertical="center"/>
    </xf>
    <xf numFmtId="0" fontId="82" fillId="0" borderId="0" xfId="0" applyFont="1" applyAlignment="1">
      <alignment vertical="center"/>
    </xf>
    <xf numFmtId="0" fontId="77" fillId="0" borderId="33" xfId="0" applyFont="1" applyBorder="1" applyAlignment="1">
      <alignment vertical="center" wrapText="1"/>
    </xf>
    <xf numFmtId="0" fontId="74" fillId="39" borderId="33" xfId="0" applyFont="1" applyFill="1" applyBorder="1" applyAlignment="1">
      <alignment horizontal="center" vertical="center" wrapText="1"/>
    </xf>
    <xf numFmtId="0" fontId="74" fillId="0" borderId="33" xfId="0" applyFont="1" applyBorder="1" applyAlignment="1">
      <alignment horizontal="left" vertical="center" wrapText="1"/>
    </xf>
    <xf numFmtId="0" fontId="77" fillId="0" borderId="33" xfId="0" applyFont="1" applyBorder="1" applyAlignment="1">
      <alignment horizontal="center" vertical="center"/>
    </xf>
    <xf numFmtId="175" fontId="77" fillId="0" borderId="33" xfId="0" applyNumberFormat="1" applyFont="1" applyBorder="1" applyAlignment="1">
      <alignment horizontal="center" vertical="center"/>
    </xf>
    <xf numFmtId="183" fontId="77" fillId="0" borderId="33" xfId="0" applyNumberFormat="1" applyFont="1" applyBorder="1" applyAlignment="1">
      <alignment horizontal="center" vertical="center"/>
    </xf>
    <xf numFmtId="4" fontId="77" fillId="0" borderId="33" xfId="0" applyNumberFormat="1" applyFont="1" applyBorder="1" applyAlignment="1">
      <alignment horizontal="center" vertical="center"/>
    </xf>
    <xf numFmtId="184" fontId="77" fillId="0" borderId="33" xfId="0" applyNumberFormat="1" applyFont="1" applyBorder="1" applyAlignment="1">
      <alignment horizontal="center" vertical="center"/>
    </xf>
    <xf numFmtId="10" fontId="82" fillId="0" borderId="0" xfId="207" applyNumberFormat="1" applyFont="1" applyAlignment="1">
      <alignment vertical="center"/>
    </xf>
    <xf numFmtId="0" fontId="77" fillId="0" borderId="33" xfId="0" applyFont="1" applyBorder="1" applyAlignment="1">
      <alignment horizontal="left" vertical="center" wrapText="1"/>
    </xf>
    <xf numFmtId="172" fontId="77" fillId="0" borderId="33" xfId="0" applyNumberFormat="1" applyFont="1" applyBorder="1" applyAlignment="1">
      <alignment horizontal="center" vertical="center"/>
    </xf>
    <xf numFmtId="186" fontId="77" fillId="4" borderId="33" xfId="0" applyNumberFormat="1" applyFont="1" applyFill="1" applyBorder="1" applyAlignment="1">
      <alignment horizontal="center" vertical="center"/>
    </xf>
    <xf numFmtId="207" fontId="77" fillId="0" borderId="33" xfId="0" applyNumberFormat="1" applyFont="1" applyBorder="1" applyAlignment="1">
      <alignment horizontal="center" vertical="center"/>
    </xf>
    <xf numFmtId="178" fontId="83" fillId="0" borderId="33" xfId="0" applyNumberFormat="1" applyFont="1" applyBorder="1" applyAlignment="1">
      <alignment horizontal="center" vertical="center"/>
    </xf>
    <xf numFmtId="178" fontId="84" fillId="0" borderId="33" xfId="0" applyNumberFormat="1" applyFont="1" applyBorder="1" applyAlignment="1">
      <alignment horizontal="center" vertical="center"/>
    </xf>
    <xf numFmtId="186" fontId="77" fillId="0" borderId="33" xfId="0" applyNumberFormat="1" applyFont="1" applyBorder="1" applyAlignment="1">
      <alignment horizontal="center" vertical="center"/>
    </xf>
    <xf numFmtId="0" fontId="77" fillId="0" borderId="33" xfId="0" applyFont="1" applyBorder="1" applyAlignment="1">
      <alignment horizontal="left" vertical="center"/>
    </xf>
    <xf numFmtId="178" fontId="77" fillId="0" borderId="33" xfId="0" applyNumberFormat="1" applyFont="1" applyBorder="1" applyAlignment="1">
      <alignment horizontal="center" vertical="center"/>
    </xf>
    <xf numFmtId="210" fontId="77" fillId="0" borderId="33" xfId="0" applyNumberFormat="1" applyFont="1" applyBorder="1" applyAlignment="1">
      <alignment horizontal="center" vertical="center"/>
    </xf>
    <xf numFmtId="192" fontId="74" fillId="0" borderId="33" xfId="0" quotePrefix="1" applyNumberFormat="1" applyFont="1" applyBorder="1" applyAlignment="1">
      <alignment horizontal="center" vertical="center"/>
    </xf>
    <xf numFmtId="192" fontId="77" fillId="0" borderId="33" xfId="0" applyNumberFormat="1" applyFont="1" applyBorder="1" applyAlignment="1">
      <alignment horizontal="center" vertical="center"/>
    </xf>
    <xf numFmtId="175" fontId="84" fillId="0" borderId="33" xfId="0" applyNumberFormat="1" applyFont="1" applyBorder="1" applyAlignment="1">
      <alignment horizontal="center" vertical="center"/>
    </xf>
    <xf numFmtId="0" fontId="81" fillId="4" borderId="33" xfId="0" applyFont="1" applyFill="1" applyBorder="1" applyAlignment="1">
      <alignment horizontal="center" vertical="center"/>
    </xf>
    <xf numFmtId="178" fontId="77" fillId="0" borderId="33" xfId="0" applyNumberFormat="1" applyFont="1" applyBorder="1" applyAlignment="1" applyProtection="1">
      <alignment horizontal="center" vertical="center"/>
      <protection locked="0"/>
    </xf>
    <xf numFmtId="175" fontId="74" fillId="2" borderId="33" xfId="0" applyNumberFormat="1" applyFont="1" applyFill="1" applyBorder="1" applyAlignment="1">
      <alignment horizontal="center" vertical="center"/>
    </xf>
    <xf numFmtId="203" fontId="77" fillId="0" borderId="0" xfId="0" applyNumberFormat="1" applyFont="1" applyAlignment="1">
      <alignment vertical="center"/>
    </xf>
    <xf numFmtId="0" fontId="85" fillId="0" borderId="33" xfId="0" applyFont="1" applyBorder="1" applyAlignment="1">
      <alignment horizontal="left" vertical="center" wrapText="1"/>
    </xf>
    <xf numFmtId="207" fontId="74" fillId="0" borderId="33" xfId="0" applyNumberFormat="1" applyFont="1" applyBorder="1" applyAlignment="1" applyProtection="1">
      <alignment horizontal="center" vertical="center"/>
      <protection locked="0"/>
    </xf>
    <xf numFmtId="172" fontId="74" fillId="0" borderId="33" xfId="0" applyNumberFormat="1" applyFont="1" applyBorder="1" applyAlignment="1" applyProtection="1">
      <alignment horizontal="center" vertical="center"/>
      <protection locked="0"/>
    </xf>
    <xf numFmtId="0" fontId="84" fillId="0" borderId="33" xfId="0" applyFont="1" applyBorder="1" applyAlignment="1">
      <alignment vertical="center" wrapText="1"/>
    </xf>
    <xf numFmtId="0" fontId="74" fillId="30" borderId="33" xfId="0" applyFont="1" applyFill="1" applyBorder="1" applyAlignment="1">
      <alignment horizontal="center" vertical="center" wrapText="1"/>
    </xf>
    <xf numFmtId="0" fontId="84" fillId="0" borderId="33" xfId="0" applyFont="1" applyBorder="1" applyAlignment="1">
      <alignment horizontal="left" vertical="center" wrapText="1"/>
    </xf>
    <xf numFmtId="198" fontId="75" fillId="0" borderId="33" xfId="0" applyNumberFormat="1" applyFont="1" applyBorder="1" applyAlignment="1">
      <alignment horizontal="center" vertical="center"/>
    </xf>
    <xf numFmtId="0" fontId="77" fillId="0" borderId="0" xfId="0" applyFont="1" applyAlignment="1">
      <alignment wrapText="1"/>
    </xf>
    <xf numFmtId="0" fontId="78" fillId="0" borderId="0" xfId="0" applyFont="1" applyAlignment="1">
      <alignment horizontal="center" wrapText="1"/>
    </xf>
    <xf numFmtId="0" fontId="77" fillId="0" borderId="0" xfId="0" applyFont="1" applyAlignment="1">
      <alignment horizontal="left"/>
    </xf>
    <xf numFmtId="0" fontId="77" fillId="0" borderId="0" xfId="0" applyFont="1"/>
    <xf numFmtId="178" fontId="86" fillId="0" borderId="33" xfId="0" applyNumberFormat="1" applyFont="1" applyBorder="1" applyAlignment="1">
      <alignment horizontal="center" vertical="center"/>
    </xf>
    <xf numFmtId="2" fontId="81" fillId="0" borderId="33" xfId="0" applyNumberFormat="1" applyFont="1" applyBorder="1" applyAlignment="1">
      <alignment horizontal="center" vertical="center"/>
    </xf>
    <xf numFmtId="254" fontId="77" fillId="0" borderId="33" xfId="0" applyNumberFormat="1" applyFont="1" applyBorder="1" applyAlignment="1">
      <alignment horizontal="center" vertical="center"/>
    </xf>
    <xf numFmtId="0" fontId="0" fillId="0" borderId="0" xfId="0" applyFill="1"/>
    <xf numFmtId="0" fontId="26" fillId="0" borderId="0" xfId="0" applyFont="1" applyFill="1" applyAlignment="1">
      <alignment horizontal="center"/>
    </xf>
    <xf numFmtId="44" fontId="0" fillId="0" borderId="0" xfId="0" applyNumberFormat="1" applyFill="1"/>
    <xf numFmtId="219" fontId="0" fillId="0" borderId="0" xfId="211" applyNumberFormat="1" applyFont="1" applyFill="1" applyAlignment="1">
      <alignment vertical="center"/>
    </xf>
    <xf numFmtId="178" fontId="0" fillId="0" borderId="59" xfId="0" applyNumberFormat="1" applyFill="1" applyBorder="1"/>
    <xf numFmtId="43" fontId="0" fillId="0" borderId="0" xfId="211" applyFont="1" applyFill="1" applyAlignment="1"/>
    <xf numFmtId="43" fontId="0" fillId="0" borderId="0" xfId="0" applyNumberFormat="1" applyFill="1"/>
    <xf numFmtId="43" fontId="26" fillId="0" borderId="0" xfId="0" applyNumberFormat="1" applyFont="1" applyFill="1"/>
    <xf numFmtId="8" fontId="26" fillId="0" borderId="0" xfId="0" applyNumberFormat="1" applyFont="1" applyFill="1" applyAlignment="1">
      <alignment horizontal="left"/>
    </xf>
    <xf numFmtId="224" fontId="0" fillId="0" borderId="0" xfId="0" applyNumberFormat="1" applyFill="1" applyAlignment="1">
      <alignment horizontal="center"/>
    </xf>
    <xf numFmtId="0" fontId="0" fillId="32" borderId="0" xfId="0" applyFill="1"/>
    <xf numFmtId="44" fontId="0" fillId="32" borderId="0" xfId="0" applyNumberFormat="1" applyFill="1"/>
    <xf numFmtId="43" fontId="0" fillId="32" borderId="0" xfId="0" applyNumberFormat="1" applyFill="1"/>
    <xf numFmtId="0" fontId="26" fillId="24" borderId="0" xfId="0" applyFont="1" applyFill="1" applyAlignment="1">
      <alignment horizontal="center"/>
    </xf>
    <xf numFmtId="44" fontId="0" fillId="24" borderId="0" xfId="0" applyNumberFormat="1" applyFill="1"/>
    <xf numFmtId="219" fontId="0" fillId="24" borderId="0" xfId="211" applyNumberFormat="1" applyFont="1" applyFill="1" applyAlignment="1">
      <alignment vertical="center"/>
    </xf>
    <xf numFmtId="178" fontId="0" fillId="24" borderId="59" xfId="0" applyNumberFormat="1" applyFill="1" applyBorder="1"/>
    <xf numFmtId="43" fontId="0" fillId="24" borderId="0" xfId="211" applyFont="1" applyFill="1" applyAlignment="1"/>
    <xf numFmtId="43" fontId="0" fillId="24" borderId="0" xfId="0" applyNumberFormat="1" applyFill="1"/>
    <xf numFmtId="43" fontId="26" fillId="24" borderId="0" xfId="0" applyNumberFormat="1" applyFont="1" applyFill="1"/>
    <xf numFmtId="8" fontId="26" fillId="24" borderId="0" xfId="0" applyNumberFormat="1" applyFont="1" applyFill="1" applyAlignment="1">
      <alignment horizontal="left"/>
    </xf>
    <xf numFmtId="255" fontId="0" fillId="0" borderId="0" xfId="212" applyNumberFormat="1" applyFont="1" applyFill="1"/>
    <xf numFmtId="255" fontId="0" fillId="0" borderId="0" xfId="0" applyNumberFormat="1" applyFill="1"/>
    <xf numFmtId="255" fontId="0" fillId="0" borderId="59" xfId="212" applyNumberFormat="1" applyFont="1" applyFill="1" applyBorder="1"/>
    <xf numFmtId="255" fontId="0" fillId="0" borderId="59" xfId="0" applyNumberFormat="1" applyFill="1" applyBorder="1"/>
    <xf numFmtId="255" fontId="0" fillId="2" borderId="0" xfId="212" applyNumberFormat="1" applyFont="1" applyFill="1"/>
    <xf numFmtId="255" fontId="0" fillId="0" borderId="0" xfId="212" applyNumberFormat="1" applyFont="1"/>
    <xf numFmtId="255" fontId="0" fillId="0" borderId="0" xfId="0" applyNumberFormat="1"/>
    <xf numFmtId="255" fontId="0" fillId="0" borderId="59" xfId="212" applyNumberFormat="1" applyFont="1" applyBorder="1"/>
    <xf numFmtId="255" fontId="0" fillId="0" borderId="65" xfId="212" applyNumberFormat="1" applyFont="1" applyBorder="1"/>
    <xf numFmtId="255" fontId="0" fillId="2" borderId="0" xfId="0" applyNumberFormat="1" applyFill="1"/>
    <xf numFmtId="255" fontId="0" fillId="2" borderId="59" xfId="0" applyNumberFormat="1" applyFill="1" applyBorder="1"/>
    <xf numFmtId="255" fontId="0" fillId="0" borderId="59" xfId="0" applyNumberFormat="1" applyBorder="1"/>
    <xf numFmtId="178" fontId="0" fillId="24" borderId="0" xfId="212" applyNumberFormat="1" applyFont="1" applyFill="1"/>
    <xf numFmtId="178" fontId="0" fillId="0" borderId="0" xfId="212" applyNumberFormat="1" applyFont="1"/>
    <xf numFmtId="178" fontId="0" fillId="0" borderId="0" xfId="0" applyNumberFormat="1" applyFill="1"/>
    <xf numFmtId="178" fontId="0" fillId="0" borderId="65" xfId="212" applyNumberFormat="1" applyFont="1" applyBorder="1"/>
    <xf numFmtId="178" fontId="0" fillId="24" borderId="0" xfId="0" applyNumberFormat="1" applyFill="1"/>
    <xf numFmtId="178" fontId="0" fillId="0" borderId="59" xfId="0" applyNumberFormat="1" applyBorder="1"/>
    <xf numFmtId="255" fontId="0" fillId="24" borderId="0" xfId="212" applyNumberFormat="1" applyFont="1" applyFill="1"/>
    <xf numFmtId="255" fontId="0" fillId="24" borderId="0" xfId="0" applyNumberFormat="1" applyFill="1"/>
    <xf numFmtId="255" fontId="0" fillId="24" borderId="59" xfId="0" applyNumberFormat="1" applyFill="1" applyBorder="1"/>
    <xf numFmtId="255" fontId="60" fillId="0" borderId="0" xfId="212" applyNumberFormat="1" applyFont="1"/>
    <xf numFmtId="256" fontId="0" fillId="24" borderId="0" xfId="0" applyNumberFormat="1" applyFill="1"/>
    <xf numFmtId="256" fontId="0" fillId="0" borderId="0" xfId="0" applyNumberFormat="1"/>
    <xf numFmtId="256" fontId="0" fillId="24" borderId="59" xfId="0" applyNumberFormat="1" applyFill="1" applyBorder="1"/>
    <xf numFmtId="256" fontId="0" fillId="0" borderId="59" xfId="212" applyNumberFormat="1" applyFont="1" applyBorder="1"/>
    <xf numFmtId="256" fontId="0" fillId="0" borderId="59" xfId="0" applyNumberFormat="1" applyBorder="1"/>
    <xf numFmtId="256" fontId="26" fillId="24" borderId="0" xfId="0" applyNumberFormat="1" applyFont="1" applyFill="1" applyAlignment="1">
      <alignment horizontal="left"/>
    </xf>
    <xf numFmtId="256" fontId="0" fillId="0" borderId="0" xfId="212" applyNumberFormat="1" applyFont="1" applyBorder="1"/>
    <xf numFmtId="256" fontId="26" fillId="0" borderId="0" xfId="212" applyNumberFormat="1" applyFont="1" applyBorder="1" applyAlignment="1">
      <alignment horizontal="center"/>
    </xf>
    <xf numFmtId="256" fontId="26" fillId="0" borderId="0" xfId="0" applyNumberFormat="1" applyFont="1" applyAlignment="1">
      <alignment horizontal="left"/>
    </xf>
    <xf numFmtId="256" fontId="0" fillId="24" borderId="0" xfId="212" applyNumberFormat="1" applyFont="1" applyFill="1"/>
    <xf numFmtId="256" fontId="0" fillId="0" borderId="0" xfId="212" applyNumberFormat="1" applyFont="1"/>
    <xf numFmtId="256" fontId="0" fillId="2" borderId="0" xfId="0" applyNumberFormat="1" applyFill="1"/>
    <xf numFmtId="256" fontId="0" fillId="0" borderId="0" xfId="0" applyNumberFormat="1" applyFill="1"/>
    <xf numFmtId="256" fontId="0" fillId="0" borderId="59" xfId="212" applyNumberFormat="1" applyFont="1" applyFill="1" applyBorder="1"/>
    <xf numFmtId="256" fontId="0" fillId="0" borderId="65" xfId="212" applyNumberFormat="1" applyFont="1" applyBorder="1"/>
    <xf numFmtId="256" fontId="0" fillId="2" borderId="0" xfId="212" applyNumberFormat="1" applyFont="1" applyFill="1"/>
    <xf numFmtId="256" fontId="0" fillId="24" borderId="0" xfId="211" applyNumberFormat="1" applyFont="1" applyFill="1" applyAlignment="1"/>
    <xf numFmtId="256" fontId="0" fillId="0" borderId="0" xfId="211" applyNumberFormat="1" applyFont="1" applyAlignment="1"/>
    <xf numFmtId="256" fontId="0" fillId="2" borderId="59" xfId="0" applyNumberFormat="1" applyFill="1" applyBorder="1"/>
    <xf numFmtId="0" fontId="0" fillId="8" borderId="0" xfId="0" applyFill="1"/>
    <xf numFmtId="0" fontId="29" fillId="8" borderId="0" xfId="0" applyFont="1" applyFill="1"/>
    <xf numFmtId="256" fontId="0" fillId="41" borderId="0" xfId="212" applyNumberFormat="1" applyFont="1" applyFill="1"/>
    <xf numFmtId="0" fontId="26" fillId="8" borderId="0" xfId="0" applyFont="1" applyFill="1" applyAlignment="1">
      <alignment horizontal="right"/>
    </xf>
    <xf numFmtId="257" fontId="77" fillId="4" borderId="33" xfId="0" applyNumberFormat="1" applyFont="1" applyFill="1" applyBorder="1" applyAlignment="1">
      <alignment horizontal="center" vertical="center"/>
    </xf>
    <xf numFmtId="212" fontId="77" fillId="0" borderId="33" xfId="0" applyNumberFormat="1" applyFont="1" applyBorder="1" applyAlignment="1">
      <alignment horizontal="center" vertical="center"/>
    </xf>
    <xf numFmtId="258" fontId="77" fillId="0" borderId="33" xfId="0" applyNumberFormat="1" applyFont="1" applyBorder="1" applyAlignment="1">
      <alignment horizontal="center" vertical="center"/>
    </xf>
    <xf numFmtId="176" fontId="77" fillId="0" borderId="33" xfId="0" applyNumberFormat="1" applyFont="1" applyBorder="1" applyAlignment="1">
      <alignment horizontal="center" vertical="center"/>
    </xf>
    <xf numFmtId="177" fontId="87" fillId="0" borderId="0" xfId="210" applyNumberFormat="1" applyFont="1" applyAlignment="1">
      <alignment horizontal="center"/>
    </xf>
    <xf numFmtId="177" fontId="87" fillId="0" borderId="0" xfId="210" applyNumberFormat="1" applyFont="1" applyAlignment="1">
      <alignment horizontal="left"/>
    </xf>
    <xf numFmtId="177" fontId="41" fillId="0" borderId="0" xfId="210" applyNumberFormat="1" applyFont="1" applyAlignment="1">
      <alignment horizontal="center" vertical="center"/>
    </xf>
    <xf numFmtId="0" fontId="37" fillId="43" borderId="6" xfId="210" applyFont="1" applyFill="1" applyBorder="1" applyAlignment="1">
      <alignment horizontal="center" vertical="center"/>
    </xf>
    <xf numFmtId="0" fontId="37" fillId="44" borderId="6" xfId="210" applyFont="1" applyFill="1" applyBorder="1" applyAlignment="1">
      <alignment horizontal="center" vertical="center"/>
    </xf>
    <xf numFmtId="0" fontId="37" fillId="44" borderId="5" xfId="210" applyFont="1" applyFill="1" applyBorder="1" applyAlignment="1">
      <alignment horizontal="center" vertical="center"/>
    </xf>
    <xf numFmtId="253" fontId="37" fillId="43" borderId="33" xfId="210" applyNumberFormat="1" applyFont="1" applyFill="1" applyBorder="1" applyAlignment="1">
      <alignment horizontal="center" vertical="center"/>
    </xf>
    <xf numFmtId="253" fontId="37" fillId="45" borderId="33" xfId="210" applyNumberFormat="1" applyFont="1" applyFill="1" applyBorder="1" applyAlignment="1">
      <alignment horizontal="center" vertical="center"/>
    </xf>
    <xf numFmtId="253" fontId="37" fillId="45" borderId="13" xfId="210" applyNumberFormat="1" applyFont="1" applyFill="1" applyBorder="1" applyAlignment="1">
      <alignment horizontal="center" vertical="center"/>
    </xf>
    <xf numFmtId="16" fontId="37" fillId="43" borderId="15" xfId="210" applyNumberFormat="1" applyFont="1" applyFill="1" applyBorder="1" applyAlignment="1">
      <alignment horizontal="center" vertical="center"/>
    </xf>
    <xf numFmtId="16" fontId="37" fillId="45" borderId="15" xfId="210" applyNumberFormat="1" applyFont="1" applyFill="1" applyBorder="1" applyAlignment="1">
      <alignment horizontal="center" vertical="center"/>
    </xf>
    <xf numFmtId="16" fontId="37" fillId="45" borderId="16" xfId="210" applyNumberFormat="1" applyFont="1" applyFill="1" applyBorder="1" applyAlignment="1">
      <alignment horizontal="center" vertical="center"/>
    </xf>
    <xf numFmtId="0" fontId="35" fillId="0" borderId="79" xfId="210" applyFont="1" applyBorder="1"/>
    <xf numFmtId="0" fontId="35" fillId="0" borderId="80" xfId="210" applyFont="1" applyBorder="1"/>
    <xf numFmtId="0" fontId="35" fillId="0" borderId="80" xfId="210" applyFont="1" applyBorder="1" applyAlignment="1">
      <alignment horizontal="center"/>
    </xf>
    <xf numFmtId="0" fontId="35" fillId="0" borderId="80" xfId="210" applyFont="1" applyBorder="1" applyAlignment="1">
      <alignment horizontal="left"/>
    </xf>
    <xf numFmtId="0" fontId="38" fillId="0" borderId="80" xfId="210" applyFont="1" applyBorder="1" applyAlignment="1">
      <alignment horizontal="center" textRotation="90"/>
    </xf>
    <xf numFmtId="0" fontId="38" fillId="0" borderId="81" xfId="210" applyFont="1" applyBorder="1" applyAlignment="1">
      <alignment horizontal="center" textRotation="90"/>
    </xf>
    <xf numFmtId="0" fontId="35" fillId="0" borderId="21" xfId="210" applyFont="1" applyBorder="1" applyAlignment="1">
      <alignment horizontal="center" vertical="center"/>
    </xf>
    <xf numFmtId="0" fontId="35" fillId="0" borderId="22" xfId="210" applyFont="1" applyBorder="1" applyAlignment="1">
      <alignment horizontal="center" vertical="center"/>
    </xf>
    <xf numFmtId="0" fontId="35" fillId="0" borderId="22" xfId="210" applyFont="1" applyBorder="1" applyAlignment="1">
      <alignment horizontal="left" vertical="center"/>
    </xf>
    <xf numFmtId="0" fontId="35" fillId="0" borderId="129" xfId="210" applyFont="1" applyBorder="1" applyAlignment="1">
      <alignment horizontal="left" vertical="center"/>
    </xf>
    <xf numFmtId="259" fontId="88" fillId="0" borderId="66" xfId="210" applyNumberFormat="1" applyFont="1" applyBorder="1" applyAlignment="1">
      <alignment horizontal="center" vertical="center"/>
    </xf>
    <xf numFmtId="259" fontId="37" fillId="0" borderId="22" xfId="210" applyNumberFormat="1" applyFont="1" applyBorder="1" applyAlignment="1">
      <alignment horizontal="center" vertical="center"/>
    </xf>
    <xf numFmtId="259" fontId="37" fillId="0" borderId="23" xfId="210" applyNumberFormat="1" applyFont="1" applyBorder="1" applyAlignment="1">
      <alignment horizontal="center" vertical="center"/>
    </xf>
    <xf numFmtId="0" fontId="35" fillId="0" borderId="14" xfId="210" applyFont="1" applyBorder="1" applyAlignment="1">
      <alignment horizontal="center" vertical="center"/>
    </xf>
    <xf numFmtId="0" fontId="35" fillId="0" borderId="15" xfId="210" applyFont="1" applyBorder="1" applyAlignment="1">
      <alignment horizontal="center" vertical="center"/>
    </xf>
    <xf numFmtId="0" fontId="35" fillId="0" borderId="15" xfId="210" applyFont="1" applyBorder="1" applyAlignment="1">
      <alignment horizontal="left" vertical="center"/>
    </xf>
    <xf numFmtId="0" fontId="35" fillId="0" borderId="57" xfId="210" applyFont="1" applyBorder="1" applyAlignment="1">
      <alignment horizontal="left" vertical="center"/>
    </xf>
    <xf numFmtId="184" fontId="88" fillId="0" borderId="25" xfId="210" applyNumberFormat="1" applyFont="1" applyBorder="1" applyAlignment="1">
      <alignment horizontal="center" vertical="center"/>
    </xf>
    <xf numFmtId="0" fontId="35" fillId="0" borderId="4" xfId="210" applyFont="1" applyBorder="1" applyAlignment="1">
      <alignment horizontal="center" vertical="center"/>
    </xf>
    <xf numFmtId="0" fontId="35" fillId="0" borderId="6" xfId="210" applyFont="1" applyBorder="1" applyAlignment="1">
      <alignment horizontal="center" vertical="center"/>
    </xf>
    <xf numFmtId="0" fontId="35" fillId="0" borderId="6" xfId="210" applyFont="1" applyBorder="1" applyAlignment="1">
      <alignment horizontal="left" vertical="center"/>
    </xf>
    <xf numFmtId="0" fontId="18" fillId="0" borderId="6" xfId="0" applyFont="1" applyBorder="1" applyAlignment="1">
      <alignment horizontal="left" vertical="center" wrapText="1"/>
    </xf>
    <xf numFmtId="0" fontId="35" fillId="0" borderId="54" xfId="210" applyFont="1" applyBorder="1" applyAlignment="1">
      <alignment horizontal="left" vertical="center"/>
    </xf>
    <xf numFmtId="259" fontId="37" fillId="0" borderId="20" xfId="210" applyNumberFormat="1" applyFont="1" applyBorder="1" applyAlignment="1">
      <alignment horizontal="center" vertical="center"/>
    </xf>
    <xf numFmtId="259" fontId="35" fillId="0" borderId="4" xfId="210" applyNumberFormat="1" applyFont="1" applyBorder="1" applyAlignment="1">
      <alignment vertical="center"/>
    </xf>
    <xf numFmtId="259" fontId="35" fillId="0" borderId="6" xfId="210" applyNumberFormat="1" applyFont="1" applyBorder="1" applyAlignment="1">
      <alignment vertical="center"/>
    </xf>
    <xf numFmtId="259" fontId="35" fillId="0" borderId="5" xfId="210" applyNumberFormat="1" applyFont="1" applyBorder="1" applyAlignment="1">
      <alignment vertical="center"/>
    </xf>
    <xf numFmtId="0" fontId="35" fillId="0" borderId="12" xfId="210" applyFont="1" applyBorder="1" applyAlignment="1">
      <alignment horizontal="center" vertical="center"/>
    </xf>
    <xf numFmtId="0" fontId="35" fillId="0" borderId="33" xfId="210" applyFont="1" applyBorder="1" applyAlignment="1">
      <alignment horizontal="left" vertical="center"/>
    </xf>
    <xf numFmtId="0" fontId="35" fillId="0" borderId="31" xfId="210" applyFont="1" applyBorder="1" applyAlignment="1">
      <alignment horizontal="left" vertical="center"/>
    </xf>
    <xf numFmtId="184" fontId="35" fillId="0" borderId="24" xfId="210" applyNumberFormat="1" applyFont="1" applyBorder="1" applyAlignment="1">
      <alignment horizontal="center" vertical="center"/>
    </xf>
    <xf numFmtId="184" fontId="35" fillId="0" borderId="33" xfId="210" applyNumberFormat="1" applyFont="1" applyBorder="1" applyAlignment="1">
      <alignment horizontal="center" vertical="center"/>
    </xf>
    <xf numFmtId="184" fontId="35" fillId="0" borderId="13" xfId="210" applyNumberFormat="1" applyFont="1" applyBorder="1" applyAlignment="1">
      <alignment horizontal="center" vertical="center"/>
    </xf>
    <xf numFmtId="259" fontId="37" fillId="0" borderId="24" xfId="210" applyNumberFormat="1" applyFont="1" applyBorder="1" applyAlignment="1">
      <alignment horizontal="center" vertical="center"/>
    </xf>
    <xf numFmtId="259" fontId="35" fillId="0" borderId="12" xfId="210" applyNumberFormat="1" applyFont="1" applyBorder="1" applyAlignment="1">
      <alignment vertical="center"/>
    </xf>
    <xf numFmtId="259" fontId="35" fillId="0" borderId="33" xfId="210" applyNumberFormat="1" applyFont="1" applyBorder="1" applyAlignment="1">
      <alignment vertical="center"/>
    </xf>
    <xf numFmtId="259" fontId="35" fillId="0" borderId="13" xfId="210" applyNumberFormat="1" applyFont="1" applyBorder="1" applyAlignment="1">
      <alignment vertical="center"/>
    </xf>
    <xf numFmtId="0" fontId="35" fillId="0" borderId="33" xfId="210" applyFont="1" applyBorder="1" applyAlignment="1">
      <alignment vertical="center"/>
    </xf>
    <xf numFmtId="10" fontId="56" fillId="4" borderId="33" xfId="207" applyNumberFormat="1" applyFont="1" applyFill="1" applyBorder="1" applyAlignment="1" applyProtection="1">
      <alignment horizontal="center" vertical="center"/>
      <protection locked="0"/>
    </xf>
    <xf numFmtId="210" fontId="19" fillId="0" borderId="24" xfId="0" applyNumberFormat="1" applyFont="1" applyBorder="1" applyAlignment="1">
      <alignment horizontal="center" vertical="center"/>
    </xf>
    <xf numFmtId="210" fontId="18" fillId="0" borderId="12" xfId="0" applyNumberFormat="1" applyFont="1" applyBorder="1" applyAlignment="1">
      <alignment horizontal="right" vertical="center"/>
    </xf>
    <xf numFmtId="210" fontId="18" fillId="0" borderId="33" xfId="0" applyNumberFormat="1" applyFont="1" applyBorder="1" applyAlignment="1">
      <alignment horizontal="right" vertical="center"/>
    </xf>
    <xf numFmtId="210" fontId="18" fillId="0" borderId="13" xfId="0" applyNumberFormat="1" applyFont="1" applyBorder="1" applyAlignment="1">
      <alignment horizontal="right" vertical="center"/>
    </xf>
    <xf numFmtId="0" fontId="18" fillId="0" borderId="15" xfId="0" applyFont="1" applyBorder="1" applyAlignment="1">
      <alignment horizontal="left" vertical="center" wrapText="1"/>
    </xf>
    <xf numFmtId="184" fontId="35" fillId="0" borderId="25" xfId="210" applyNumberFormat="1" applyFont="1" applyBorder="1" applyAlignment="1">
      <alignment horizontal="center" vertical="center"/>
    </xf>
    <xf numFmtId="184" fontId="35" fillId="0" borderId="15" xfId="210" applyNumberFormat="1" applyFont="1" applyBorder="1" applyAlignment="1">
      <alignment horizontal="center" vertical="center"/>
    </xf>
    <xf numFmtId="184" fontId="35" fillId="0" borderId="16" xfId="210" applyNumberFormat="1" applyFont="1" applyBorder="1" applyAlignment="1">
      <alignment horizontal="center" vertical="center"/>
    </xf>
    <xf numFmtId="184" fontId="37" fillId="0" borderId="14" xfId="210" applyNumberFormat="1" applyFont="1" applyBorder="1" applyAlignment="1">
      <alignment horizontal="center" vertical="center"/>
    </xf>
    <xf numFmtId="0" fontId="35" fillId="0" borderId="26" xfId="210" applyFont="1" applyBorder="1" applyAlignment="1">
      <alignment horizontal="center" vertical="center"/>
    </xf>
    <xf numFmtId="188" fontId="56" fillId="4" borderId="6" xfId="207" applyNumberFormat="1" applyFont="1" applyFill="1" applyBorder="1" applyAlignment="1" applyProtection="1">
      <alignment horizontal="center" vertical="center"/>
      <protection locked="0"/>
    </xf>
    <xf numFmtId="0" fontId="35" fillId="0" borderId="5" xfId="210" applyFont="1" applyBorder="1" applyAlignment="1">
      <alignment horizontal="left" vertical="center"/>
    </xf>
    <xf numFmtId="259" fontId="35" fillId="0" borderId="26" xfId="210" applyNumberFormat="1" applyFont="1" applyBorder="1" applyAlignment="1">
      <alignment vertical="center"/>
    </xf>
    <xf numFmtId="0" fontId="35" fillId="0" borderId="30" xfId="210" applyFont="1" applyBorder="1" applyAlignment="1">
      <alignment horizontal="center" vertical="center"/>
    </xf>
    <xf numFmtId="188" fontId="56" fillId="4" borderId="33" xfId="207" applyNumberFormat="1" applyFont="1" applyFill="1" applyBorder="1" applyAlignment="1" applyProtection="1">
      <alignment horizontal="center" vertical="center"/>
      <protection locked="0"/>
    </xf>
    <xf numFmtId="0" fontId="35" fillId="0" borderId="13" xfId="210" applyFont="1" applyBorder="1" applyAlignment="1">
      <alignment horizontal="left" vertical="center"/>
    </xf>
    <xf numFmtId="184" fontId="35" fillId="0" borderId="30" xfId="210" applyNumberFormat="1" applyFont="1" applyBorder="1" applyAlignment="1">
      <alignment horizontal="center" vertical="center"/>
    </xf>
    <xf numFmtId="259" fontId="35" fillId="0" borderId="30" xfId="210" applyNumberFormat="1" applyFont="1" applyBorder="1" applyAlignment="1">
      <alignment vertical="center"/>
    </xf>
    <xf numFmtId="260" fontId="35" fillId="0" borderId="30" xfId="210" applyNumberFormat="1" applyFont="1" applyBorder="1" applyAlignment="1">
      <alignment vertical="center"/>
    </xf>
    <xf numFmtId="260" fontId="35" fillId="0" borderId="33" xfId="210" applyNumberFormat="1" applyFont="1" applyBorder="1" applyAlignment="1">
      <alignment vertical="center"/>
    </xf>
    <xf numFmtId="260" fontId="35" fillId="0" borderId="13" xfId="210" applyNumberFormat="1" applyFont="1" applyBorder="1" applyAlignment="1">
      <alignment vertical="center"/>
    </xf>
    <xf numFmtId="259" fontId="37" fillId="0" borderId="6" xfId="210" applyNumberFormat="1" applyFont="1" applyBorder="1" applyAlignment="1">
      <alignment horizontal="center" vertical="center"/>
    </xf>
    <xf numFmtId="261" fontId="37" fillId="0" borderId="24" xfId="210" applyNumberFormat="1" applyFont="1" applyBorder="1" applyAlignment="1">
      <alignment horizontal="center" vertical="center"/>
    </xf>
    <xf numFmtId="261" fontId="35" fillId="0" borderId="30" xfId="210" applyNumberFormat="1" applyFont="1" applyBorder="1" applyAlignment="1">
      <alignment vertical="center"/>
    </xf>
    <xf numFmtId="261" fontId="35" fillId="0" borderId="33" xfId="210" applyNumberFormat="1" applyFont="1" applyBorder="1" applyAlignment="1">
      <alignment vertical="center"/>
    </xf>
    <xf numFmtId="261" fontId="35" fillId="0" borderId="13" xfId="210" applyNumberFormat="1" applyFont="1" applyBorder="1" applyAlignment="1">
      <alignment vertical="center"/>
    </xf>
    <xf numFmtId="0" fontId="35" fillId="0" borderId="16" xfId="210" applyFont="1" applyBorder="1" applyAlignment="1">
      <alignment horizontal="left" vertical="center"/>
    </xf>
    <xf numFmtId="184" fontId="35" fillId="0" borderId="27" xfId="210" applyNumberFormat="1" applyFont="1" applyBorder="1" applyAlignment="1">
      <alignment horizontal="center" vertical="center"/>
    </xf>
    <xf numFmtId="261" fontId="37" fillId="0" borderId="66" xfId="210" applyNumberFormat="1" applyFont="1" applyBorder="1" applyAlignment="1">
      <alignment horizontal="center" vertical="center"/>
    </xf>
    <xf numFmtId="261" fontId="35" fillId="0" borderId="29" xfId="210" applyNumberFormat="1" applyFont="1" applyBorder="1" applyAlignment="1">
      <alignment vertical="center"/>
    </xf>
    <xf numFmtId="261" fontId="35" fillId="0" borderId="22" xfId="210" applyNumberFormat="1" applyFont="1" applyBorder="1" applyAlignment="1">
      <alignment vertical="center"/>
    </xf>
    <xf numFmtId="261" fontId="35" fillId="0" borderId="23" xfId="210" applyNumberFormat="1" applyFont="1" applyBorder="1" applyAlignment="1">
      <alignment vertical="center"/>
    </xf>
    <xf numFmtId="0" fontId="35" fillId="0" borderId="33" xfId="210" applyFont="1" applyBorder="1" applyAlignment="1">
      <alignment horizontal="center"/>
    </xf>
    <xf numFmtId="0" fontId="35" fillId="0" borderId="15" xfId="210" applyFont="1" applyBorder="1" applyAlignment="1">
      <alignment horizontal="center"/>
    </xf>
    <xf numFmtId="0" fontId="18" fillId="0" borderId="22" xfId="0" applyFont="1" applyBorder="1" applyAlignment="1">
      <alignment horizontal="left" vertical="center" wrapText="1"/>
    </xf>
    <xf numFmtId="259" fontId="37" fillId="0" borderId="66" xfId="210" applyNumberFormat="1" applyFont="1" applyBorder="1" applyAlignment="1">
      <alignment horizontal="center" vertical="center"/>
    </xf>
    <xf numFmtId="210" fontId="19" fillId="0" borderId="67" xfId="0" applyNumberFormat="1" applyFont="1" applyBorder="1" applyAlignment="1">
      <alignment horizontal="center" vertical="center"/>
    </xf>
    <xf numFmtId="0" fontId="35" fillId="0" borderId="53" xfId="210" applyFont="1" applyBorder="1" applyAlignment="1">
      <alignment horizontal="center" vertical="center"/>
    </xf>
    <xf numFmtId="0" fontId="35" fillId="0" borderId="47" xfId="210" applyFont="1" applyBorder="1" applyAlignment="1">
      <alignment horizontal="center" vertical="center"/>
    </xf>
    <xf numFmtId="0" fontId="35" fillId="0" borderId="47" xfId="210" applyFont="1" applyBorder="1" applyAlignment="1">
      <alignment horizontal="left" vertical="center"/>
    </xf>
    <xf numFmtId="0" fontId="35" fillId="0" borderId="58" xfId="210" applyFont="1" applyBorder="1" applyAlignment="1">
      <alignment horizontal="left" vertical="center"/>
    </xf>
    <xf numFmtId="259" fontId="88" fillId="0" borderId="11" xfId="210" applyNumberFormat="1" applyFont="1" applyBorder="1" applyAlignment="1">
      <alignment horizontal="center" vertical="center"/>
    </xf>
    <xf numFmtId="178" fontId="89" fillId="0" borderId="33" xfId="0" applyNumberFormat="1" applyFont="1" applyBorder="1" applyAlignment="1">
      <alignment vertical="center"/>
    </xf>
    <xf numFmtId="178" fontId="25" fillId="0" borderId="130" xfId="0" applyNumberFormat="1" applyFont="1" applyBorder="1" applyAlignment="1">
      <alignment vertical="center"/>
    </xf>
    <xf numFmtId="178" fontId="25" fillId="0" borderId="33" xfId="0" applyNumberFormat="1" applyFont="1" applyBorder="1" applyAlignment="1">
      <alignment vertical="center"/>
    </xf>
    <xf numFmtId="0" fontId="35" fillId="0" borderId="47" xfId="210" applyFont="1" applyBorder="1" applyAlignment="1">
      <alignment horizontal="center" vertical="center"/>
    </xf>
    <xf numFmtId="0" fontId="35" fillId="0" borderId="33" xfId="210" applyFont="1" applyBorder="1" applyAlignment="1">
      <alignment horizontal="center" vertical="center"/>
    </xf>
    <xf numFmtId="188" fontId="56" fillId="4" borderId="33" xfId="207" applyNumberFormat="1" applyFont="1" applyFill="1" applyBorder="1" applyAlignment="1" applyProtection="1">
      <alignment horizontal="center" vertical="center"/>
      <protection locked="0"/>
    </xf>
    <xf numFmtId="0" fontId="35" fillId="0" borderId="33" xfId="210" applyFont="1" applyBorder="1" applyAlignment="1">
      <alignment horizontal="center" vertical="center"/>
    </xf>
    <xf numFmtId="175" fontId="18" fillId="0" borderId="33" xfId="0" applyNumberFormat="1" applyFont="1" applyBorder="1" applyAlignment="1">
      <alignment horizontal="center" vertical="center"/>
    </xf>
    <xf numFmtId="0" fontId="35" fillId="0" borderId="29" xfId="210" applyFont="1" applyBorder="1" applyAlignment="1">
      <alignment horizontal="center" vertical="center"/>
    </xf>
    <xf numFmtId="188" fontId="56" fillId="4" borderId="22" xfId="207" applyNumberFormat="1" applyFont="1" applyFill="1" applyBorder="1" applyAlignment="1" applyProtection="1">
      <alignment horizontal="center" vertical="center"/>
      <protection locked="0"/>
    </xf>
    <xf numFmtId="0" fontId="35" fillId="0" borderId="23" xfId="210" applyFont="1" applyBorder="1" applyAlignment="1">
      <alignment horizontal="left" vertical="center"/>
    </xf>
    <xf numFmtId="0" fontId="35" fillId="0" borderId="133" xfId="210" applyFont="1" applyBorder="1" applyAlignment="1">
      <alignment horizontal="center" vertical="center"/>
    </xf>
    <xf numFmtId="0" fontId="35" fillId="0" borderId="131" xfId="210" applyFont="1" applyBorder="1" applyAlignment="1">
      <alignment horizontal="center" vertical="center"/>
    </xf>
    <xf numFmtId="0" fontId="35" fillId="0" borderId="131" xfId="210" applyFont="1" applyBorder="1" applyAlignment="1">
      <alignment horizontal="left" vertical="center"/>
    </xf>
    <xf numFmtId="0" fontId="18" fillId="0" borderId="131" xfId="0" applyFont="1" applyBorder="1" applyAlignment="1">
      <alignment horizontal="left" vertical="center" wrapText="1"/>
    </xf>
    <xf numFmtId="0" fontId="35" fillId="0" borderId="132" xfId="210" applyFont="1" applyBorder="1" applyAlignment="1">
      <alignment horizontal="left" vertical="center"/>
    </xf>
    <xf numFmtId="0" fontId="35" fillId="0" borderId="131" xfId="210" applyFont="1" applyBorder="1" applyAlignment="1">
      <alignment horizontal="center"/>
    </xf>
    <xf numFmtId="8" fontId="35" fillId="0" borderId="30" xfId="210" applyNumberFormat="1" applyFont="1" applyBorder="1" applyAlignment="1">
      <alignment vertical="center"/>
    </xf>
    <xf numFmtId="0" fontId="35" fillId="0" borderId="47" xfId="210" applyFont="1" applyBorder="1" applyAlignment="1">
      <alignment horizontal="center" vertical="center"/>
    </xf>
    <xf numFmtId="0" fontId="35" fillId="0" borderId="15" xfId="210" applyFont="1" applyBorder="1" applyAlignment="1">
      <alignment horizontal="center" vertical="center"/>
    </xf>
    <xf numFmtId="259" fontId="37" fillId="0" borderId="4" xfId="210" applyNumberFormat="1" applyFont="1" applyBorder="1" applyAlignment="1">
      <alignment horizontal="center" vertical="center"/>
    </xf>
    <xf numFmtId="184" fontId="37" fillId="0" borderId="15" xfId="210" applyNumberFormat="1" applyFont="1" applyBorder="1" applyAlignment="1">
      <alignment horizontal="center" vertical="center"/>
    </xf>
    <xf numFmtId="184" fontId="37" fillId="0" borderId="16" xfId="210" applyNumberFormat="1" applyFont="1" applyBorder="1" applyAlignment="1">
      <alignment horizontal="center" vertical="center"/>
    </xf>
    <xf numFmtId="8" fontId="35" fillId="0" borderId="37" xfId="210" applyNumberFormat="1" applyFont="1" applyBorder="1" applyAlignment="1">
      <alignment vertical="center"/>
    </xf>
    <xf numFmtId="210" fontId="19" fillId="0" borderId="134" xfId="0" applyNumberFormat="1" applyFont="1" applyBorder="1" applyAlignment="1">
      <alignment horizontal="center" vertical="center"/>
    </xf>
    <xf numFmtId="0" fontId="35" fillId="0" borderId="137" xfId="210" applyFont="1" applyBorder="1" applyAlignment="1">
      <alignment horizontal="center" vertical="center"/>
    </xf>
    <xf numFmtId="0" fontId="35" fillId="0" borderId="135" xfId="210" applyFont="1" applyBorder="1" applyAlignment="1">
      <alignment horizontal="left" vertical="center"/>
    </xf>
    <xf numFmtId="0" fontId="35" fillId="0" borderId="136" xfId="210" applyFont="1" applyBorder="1" applyAlignment="1">
      <alignment horizontal="left" vertical="center"/>
    </xf>
    <xf numFmtId="0" fontId="18" fillId="0" borderId="6" xfId="0" applyFont="1" applyFill="1" applyBorder="1" applyAlignment="1">
      <alignment horizontal="left" vertical="center" wrapText="1"/>
    </xf>
    <xf numFmtId="0" fontId="18" fillId="0" borderId="22" xfId="0" applyFont="1" applyFill="1" applyBorder="1" applyAlignment="1">
      <alignment horizontal="left" vertical="center" wrapText="1"/>
    </xf>
    <xf numFmtId="0" fontId="18" fillId="0" borderId="33" xfId="0" applyFont="1" applyFill="1" applyBorder="1" applyAlignment="1">
      <alignment horizontal="left" vertical="center" wrapText="1"/>
    </xf>
    <xf numFmtId="0" fontId="18" fillId="0" borderId="33" xfId="0" applyFont="1" applyFill="1" applyBorder="1" applyAlignment="1">
      <alignment horizontal="left" vertical="center"/>
    </xf>
    <xf numFmtId="0" fontId="18" fillId="0" borderId="135" xfId="0" applyFont="1" applyFill="1" applyBorder="1" applyAlignment="1">
      <alignment horizontal="left" vertical="center" wrapText="1"/>
    </xf>
    <xf numFmtId="0" fontId="18" fillId="0" borderId="15" xfId="0" applyFont="1" applyFill="1" applyBorder="1" applyAlignment="1">
      <alignment horizontal="left" vertical="center" wrapText="1"/>
    </xf>
    <xf numFmtId="259" fontId="37" fillId="0" borderId="21" xfId="210" applyNumberFormat="1" applyFont="1" applyBorder="1" applyAlignment="1">
      <alignment horizontal="center" vertical="center"/>
    </xf>
    <xf numFmtId="210" fontId="18" fillId="0" borderId="33" xfId="0" applyNumberFormat="1" applyFont="1" applyBorder="1" applyAlignment="1">
      <alignment horizontal="center" vertical="center"/>
    </xf>
    <xf numFmtId="172" fontId="18" fillId="0" borderId="33" xfId="0" applyNumberFormat="1" applyFont="1" applyBorder="1" applyAlignment="1">
      <alignment horizontal="center" vertical="center"/>
    </xf>
    <xf numFmtId="8" fontId="41" fillId="0" borderId="37" xfId="210" applyNumberFormat="1" applyFont="1" applyBorder="1" applyAlignment="1">
      <alignment vertical="center"/>
    </xf>
    <xf numFmtId="259" fontId="39" fillId="0" borderId="23" xfId="210" applyNumberFormat="1" applyFont="1" applyBorder="1" applyAlignment="1">
      <alignment horizontal="center" vertical="center"/>
    </xf>
    <xf numFmtId="0" fontId="35" fillId="0" borderId="141" xfId="210" applyFont="1" applyBorder="1" applyAlignment="1">
      <alignment horizontal="center" vertical="center"/>
    </xf>
    <xf numFmtId="0" fontId="35" fillId="0" borderId="139" xfId="210" applyFont="1" applyBorder="1" applyAlignment="1">
      <alignment horizontal="left" vertical="center"/>
    </xf>
    <xf numFmtId="0" fontId="18" fillId="0" borderId="139" xfId="0" applyFont="1" applyFill="1" applyBorder="1" applyAlignment="1">
      <alignment horizontal="left" vertical="center" wrapText="1"/>
    </xf>
    <xf numFmtId="0" fontId="35" fillId="0" borderId="140" xfId="210" applyFont="1" applyBorder="1" applyAlignment="1">
      <alignment horizontal="left" vertical="center"/>
    </xf>
    <xf numFmtId="210" fontId="19" fillId="0" borderId="138" xfId="0" applyNumberFormat="1" applyFont="1" applyBorder="1" applyAlignment="1">
      <alignment horizontal="center" vertical="center"/>
    </xf>
    <xf numFmtId="210" fontId="18" fillId="0" borderId="33" xfId="0" applyNumberFormat="1" applyFont="1" applyBorder="1" applyAlignment="1">
      <alignment horizontal="center" vertical="center"/>
    </xf>
    <xf numFmtId="2" fontId="20" fillId="0" borderId="33" xfId="0" applyNumberFormat="1" applyFont="1" applyBorder="1" applyAlignment="1">
      <alignment horizontal="left" vertical="center"/>
    </xf>
    <xf numFmtId="263" fontId="18" fillId="0" borderId="0" xfId="0" applyNumberFormat="1" applyFont="1" applyAlignment="1" applyProtection="1">
      <alignment horizontal="center" vertical="center"/>
      <protection locked="0"/>
    </xf>
    <xf numFmtId="198" fontId="23" fillId="24" borderId="33" xfId="0" applyNumberFormat="1" applyFont="1" applyFill="1" applyBorder="1" applyAlignment="1">
      <alignment horizontal="center" vertical="center"/>
    </xf>
    <xf numFmtId="264" fontId="18" fillId="8" borderId="0" xfId="0" applyNumberFormat="1" applyFont="1" applyFill="1" applyAlignment="1" applyProtection="1">
      <alignment horizontal="center" vertical="center"/>
      <protection locked="0"/>
    </xf>
    <xf numFmtId="262" fontId="18" fillId="4" borderId="0" xfId="0" applyNumberFormat="1" applyFont="1" applyFill="1" applyAlignment="1">
      <alignment horizontal="center" vertical="center"/>
    </xf>
    <xf numFmtId="180" fontId="18" fillId="4" borderId="0" xfId="0" applyNumberFormat="1" applyFont="1" applyFill="1" applyAlignment="1">
      <alignment horizontal="center" vertical="center"/>
    </xf>
    <xf numFmtId="263" fontId="18" fillId="4" borderId="0" xfId="0" applyNumberFormat="1" applyFont="1" applyFill="1" applyAlignment="1" applyProtection="1">
      <alignment horizontal="center" vertical="center"/>
      <protection locked="0"/>
    </xf>
    <xf numFmtId="184" fontId="18" fillId="4" borderId="58" xfId="0" applyNumberFormat="1" applyFont="1" applyFill="1" applyBorder="1" applyAlignment="1">
      <alignment vertical="center"/>
    </xf>
    <xf numFmtId="207" fontId="18" fillId="4" borderId="58" xfId="0" applyNumberFormat="1" applyFont="1" applyFill="1" applyBorder="1" applyAlignment="1">
      <alignment vertical="center"/>
    </xf>
    <xf numFmtId="207" fontId="18" fillId="4" borderId="0" xfId="0" applyNumberFormat="1" applyFont="1" applyFill="1" applyBorder="1" applyAlignment="1">
      <alignment vertical="center"/>
    </xf>
    <xf numFmtId="172" fontId="18" fillId="4" borderId="58" xfId="0" applyNumberFormat="1" applyFont="1" applyFill="1" applyBorder="1" applyAlignment="1">
      <alignment horizontal="center" vertical="center"/>
    </xf>
    <xf numFmtId="0" fontId="91" fillId="0" borderId="33" xfId="0" applyFont="1" applyFill="1" applyBorder="1" applyAlignment="1">
      <alignment horizontal="left" vertical="center" wrapText="1"/>
    </xf>
    <xf numFmtId="226" fontId="92" fillId="4" borderId="33" xfId="210" applyNumberFormat="1" applyFont="1" applyFill="1" applyBorder="1" applyAlignment="1">
      <alignment horizontal="center" vertical="center" wrapText="1"/>
    </xf>
    <xf numFmtId="198" fontId="93" fillId="5" borderId="33" xfId="0" applyNumberFormat="1" applyFont="1" applyFill="1" applyBorder="1" applyAlignment="1">
      <alignment horizontal="center" vertical="center"/>
    </xf>
    <xf numFmtId="10" fontId="56" fillId="0" borderId="33" xfId="207" applyNumberFormat="1" applyFont="1" applyFill="1" applyBorder="1" applyAlignment="1">
      <alignment horizontal="center" vertical="center"/>
    </xf>
    <xf numFmtId="0" fontId="91" fillId="0" borderId="33" xfId="0" applyFont="1" applyFill="1" applyBorder="1" applyAlignment="1" applyProtection="1">
      <alignment horizontal="left" vertical="center" wrapText="1"/>
      <protection locked="0"/>
    </xf>
    <xf numFmtId="198" fontId="93" fillId="0" borderId="33" xfId="0" applyNumberFormat="1" applyFont="1" applyFill="1" applyBorder="1" applyAlignment="1">
      <alignment horizontal="center" vertical="center"/>
    </xf>
    <xf numFmtId="178" fontId="55" fillId="0" borderId="33" xfId="0" applyNumberFormat="1" applyFont="1" applyFill="1" applyBorder="1" applyAlignment="1" applyProtection="1">
      <alignment horizontal="center" vertical="center"/>
      <protection locked="0"/>
    </xf>
    <xf numFmtId="0" fontId="90" fillId="0" borderId="33" xfId="0" applyFont="1" applyBorder="1" applyAlignment="1">
      <alignment horizontal="left" vertical="center"/>
    </xf>
    <xf numFmtId="264" fontId="18" fillId="8" borderId="33" xfId="0" applyNumberFormat="1" applyFont="1" applyFill="1" applyBorder="1" applyAlignment="1" applyProtection="1">
      <alignment horizontal="center" vertical="center"/>
      <protection locked="0"/>
    </xf>
    <xf numFmtId="0" fontId="0" fillId="0" borderId="33" xfId="0" applyBorder="1"/>
    <xf numFmtId="264" fontId="18" fillId="9" borderId="33" xfId="0" applyNumberFormat="1" applyFont="1" applyFill="1" applyBorder="1" applyAlignment="1" applyProtection="1">
      <alignment horizontal="center" vertical="center"/>
      <protection locked="0"/>
    </xf>
    <xf numFmtId="0" fontId="0" fillId="0" borderId="0" xfId="0" pivotButton="1"/>
    <xf numFmtId="0" fontId="0" fillId="0" borderId="0" xfId="0" applyAlignment="1">
      <alignment horizontal="center" vertical="center" indent="1"/>
    </xf>
    <xf numFmtId="4" fontId="0" fillId="11" borderId="116" xfId="0" applyNumberFormat="1" applyFill="1" applyBorder="1" applyAlignment="1">
      <alignment horizontal="center"/>
    </xf>
    <xf numFmtId="4" fontId="0" fillId="11" borderId="118" xfId="0" applyNumberFormat="1" applyFill="1" applyBorder="1" applyAlignment="1">
      <alignment horizontal="center"/>
    </xf>
    <xf numFmtId="184" fontId="60" fillId="10" borderId="117" xfId="0" applyNumberFormat="1" applyFont="1" applyFill="1" applyBorder="1" applyAlignment="1">
      <alignment horizontal="center"/>
    </xf>
    <xf numFmtId="184" fontId="29" fillId="10" borderId="113" xfId="0" applyNumberFormat="1" applyFont="1" applyFill="1" applyBorder="1" applyAlignment="1">
      <alignment horizontal="center"/>
    </xf>
    <xf numFmtId="0" fontId="94" fillId="0" borderId="0" xfId="0" applyFont="1" applyAlignment="1">
      <alignment horizontal="right"/>
    </xf>
    <xf numFmtId="0" fontId="60" fillId="0" borderId="0" xfId="0" applyFont="1"/>
    <xf numFmtId="0" fontId="29" fillId="0" borderId="0" xfId="0" applyFont="1" applyAlignment="1">
      <alignment horizontal="right"/>
    </xf>
    <xf numFmtId="0" fontId="33" fillId="46" borderId="0" xfId="0" applyFont="1" applyFill="1" applyAlignment="1">
      <alignment horizontal="center" vertical="center"/>
    </xf>
    <xf numFmtId="17" fontId="33" fillId="46" borderId="0" xfId="0" applyNumberFormat="1" applyFont="1" applyFill="1" applyAlignment="1">
      <alignment horizontal="center" vertical="center"/>
    </xf>
    <xf numFmtId="0" fontId="26" fillId="10" borderId="3" xfId="0" applyFont="1" applyFill="1" applyBorder="1" applyAlignment="1">
      <alignment horizontal="right"/>
    </xf>
    <xf numFmtId="177" fontId="26" fillId="10" borderId="3" xfId="0" applyNumberFormat="1" applyFont="1" applyFill="1" applyBorder="1" applyAlignment="1">
      <alignment horizontal="center" vertical="center"/>
    </xf>
    <xf numFmtId="0" fontId="33" fillId="10" borderId="3" xfId="0" applyFont="1" applyFill="1" applyBorder="1" applyAlignment="1">
      <alignment horizontal="right"/>
    </xf>
    <xf numFmtId="177" fontId="33" fillId="10" borderId="3" xfId="0" applyNumberFormat="1" applyFont="1" applyFill="1" applyBorder="1" applyAlignment="1">
      <alignment horizontal="center" vertical="center"/>
    </xf>
    <xf numFmtId="0" fontId="33" fillId="10" borderId="3" xfId="0" applyFont="1" applyFill="1" applyBorder="1" applyAlignment="1">
      <alignment horizontal="center" vertical="center"/>
    </xf>
    <xf numFmtId="265" fontId="26" fillId="0" borderId="0" xfId="0" applyNumberFormat="1" applyFont="1" applyAlignment="1">
      <alignment horizontal="center" vertical="center"/>
    </xf>
    <xf numFmtId="265" fontId="0" fillId="0" borderId="0" xfId="0" applyNumberFormat="1" applyAlignment="1">
      <alignment horizontal="center" vertical="center"/>
    </xf>
    <xf numFmtId="265" fontId="0" fillId="0" borderId="0" xfId="0" applyNumberFormat="1" applyFont="1" applyAlignment="1">
      <alignment horizontal="center" vertical="center"/>
    </xf>
    <xf numFmtId="265" fontId="33" fillId="10" borderId="3" xfId="0" applyNumberFormat="1" applyFont="1" applyFill="1" applyBorder="1" applyAlignment="1">
      <alignment horizontal="center" vertical="center"/>
    </xf>
    <xf numFmtId="265" fontId="26" fillId="10" borderId="3" xfId="0" applyNumberFormat="1" applyFont="1" applyFill="1" applyBorder="1" applyAlignment="1">
      <alignment horizontal="center" vertical="center"/>
    </xf>
    <xf numFmtId="265" fontId="0" fillId="0" borderId="0" xfId="0" applyNumberFormat="1" applyFill="1" applyAlignment="1">
      <alignment horizontal="center" vertical="center"/>
    </xf>
    <xf numFmtId="0" fontId="33" fillId="10" borderId="97" xfId="0" applyFont="1" applyFill="1" applyBorder="1" applyAlignment="1">
      <alignment horizontal="right"/>
    </xf>
    <xf numFmtId="265" fontId="33" fillId="10" borderId="97" xfId="0" applyNumberFormat="1" applyFont="1" applyFill="1" applyBorder="1" applyAlignment="1">
      <alignment horizontal="center" vertical="center"/>
    </xf>
    <xf numFmtId="265" fontId="26" fillId="11" borderId="59" xfId="0" applyNumberFormat="1" applyFont="1" applyFill="1" applyBorder="1" applyAlignment="1">
      <alignment horizontal="center" vertical="center"/>
    </xf>
    <xf numFmtId="0" fontId="26" fillId="11" borderId="59" xfId="0" applyFont="1" applyFill="1" applyBorder="1" applyAlignment="1">
      <alignment horizontal="right"/>
    </xf>
    <xf numFmtId="256" fontId="0" fillId="0" borderId="0" xfId="0" applyNumberFormat="1" applyAlignment="1">
      <alignment horizontal="center" vertical="center"/>
    </xf>
    <xf numFmtId="0" fontId="26" fillId="24" borderId="142" xfId="0" applyFont="1" applyFill="1" applyBorder="1" applyAlignment="1">
      <alignment horizontal="right"/>
    </xf>
    <xf numFmtId="265" fontId="26" fillId="24" borderId="142" xfId="0" applyNumberFormat="1" applyFont="1" applyFill="1" applyBorder="1" applyAlignment="1">
      <alignment horizontal="center" vertical="center"/>
    </xf>
    <xf numFmtId="224" fontId="26" fillId="0" borderId="143" xfId="0" applyNumberFormat="1" applyFont="1" applyFill="1" applyBorder="1" applyAlignment="1">
      <alignment horizontal="center" vertical="center"/>
    </xf>
    <xf numFmtId="0" fontId="26" fillId="0" borderId="0" xfId="0" applyFont="1" applyFill="1" applyBorder="1" applyAlignment="1">
      <alignment horizontal="right"/>
    </xf>
    <xf numFmtId="265" fontId="29" fillId="0" borderId="0" xfId="0" applyNumberFormat="1" applyFont="1" applyFill="1" applyBorder="1" applyAlignment="1">
      <alignment horizontal="center" vertical="center"/>
    </xf>
    <xf numFmtId="0" fontId="33" fillId="8" borderId="3" xfId="0" applyFont="1" applyFill="1" applyBorder="1" applyAlignment="1">
      <alignment horizontal="right"/>
    </xf>
    <xf numFmtId="265" fontId="33" fillId="8" borderId="3" xfId="0" applyNumberFormat="1" applyFont="1" applyFill="1" applyBorder="1" applyAlignment="1">
      <alignment horizontal="center" vertical="center"/>
    </xf>
    <xf numFmtId="265" fontId="33" fillId="41" borderId="59" xfId="0" applyNumberFormat="1" applyFont="1" applyFill="1" applyBorder="1" applyAlignment="1">
      <alignment horizontal="center" vertical="center"/>
    </xf>
    <xf numFmtId="265" fontId="0" fillId="41" borderId="59" xfId="0" applyNumberFormat="1" applyFill="1" applyBorder="1" applyAlignment="1">
      <alignment horizontal="center" vertical="center"/>
    </xf>
    <xf numFmtId="224" fontId="26" fillId="0" borderId="144" xfId="0" applyNumberFormat="1" applyFont="1" applyFill="1" applyBorder="1" applyAlignment="1">
      <alignment horizontal="center" vertical="center"/>
    </xf>
    <xf numFmtId="265" fontId="0" fillId="8" borderId="3" xfId="0" applyNumberFormat="1" applyFill="1" applyBorder="1" applyAlignment="1">
      <alignment horizontal="center" vertical="center"/>
    </xf>
    <xf numFmtId="0" fontId="33" fillId="0" borderId="0" xfId="0" applyFont="1" applyFill="1" applyBorder="1" applyAlignment="1">
      <alignment horizontal="right"/>
    </xf>
    <xf numFmtId="265" fontId="33" fillId="0" borderId="0" xfId="0" applyNumberFormat="1" applyFont="1" applyFill="1" applyBorder="1" applyAlignment="1">
      <alignment horizontal="center" vertical="center"/>
    </xf>
    <xf numFmtId="265" fontId="0" fillId="0" borderId="0" xfId="0" applyNumberFormat="1" applyBorder="1" applyAlignment="1">
      <alignment horizontal="center" vertical="center"/>
    </xf>
    <xf numFmtId="0" fontId="0" fillId="0" borderId="145" xfId="0" applyFont="1" applyFill="1" applyBorder="1" applyAlignment="1">
      <alignment horizontal="right"/>
    </xf>
    <xf numFmtId="177" fontId="0" fillId="0" borderId="145" xfId="0" applyNumberFormat="1" applyFont="1" applyFill="1" applyBorder="1" applyAlignment="1">
      <alignment horizontal="center" vertical="center"/>
    </xf>
    <xf numFmtId="0" fontId="0" fillId="0" borderId="0" xfId="0" applyFont="1" applyFill="1" applyBorder="1" applyAlignment="1">
      <alignment horizontal="right"/>
    </xf>
    <xf numFmtId="177" fontId="0" fillId="0" borderId="0" xfId="0" applyNumberFormat="1" applyFont="1" applyFill="1" applyBorder="1" applyAlignment="1">
      <alignment horizontal="center" vertical="center"/>
    </xf>
    <xf numFmtId="0" fontId="26" fillId="0" borderId="3" xfId="0" applyFont="1" applyFill="1" applyBorder="1" applyAlignment="1">
      <alignment horizontal="right" indent="2"/>
    </xf>
    <xf numFmtId="265" fontId="26" fillId="0" borderId="3" xfId="0" applyNumberFormat="1" applyFont="1" applyFill="1" applyBorder="1" applyAlignment="1">
      <alignment horizontal="center" vertical="center"/>
    </xf>
    <xf numFmtId="265" fontId="0" fillId="0" borderId="3" xfId="0" applyNumberFormat="1" applyFont="1" applyFill="1" applyBorder="1" applyAlignment="1">
      <alignment horizontal="center" vertical="center"/>
    </xf>
    <xf numFmtId="265" fontId="95" fillId="0" borderId="0" xfId="0" applyNumberFormat="1" applyFont="1" applyAlignment="1">
      <alignment horizontal="center" vertical="center"/>
    </xf>
    <xf numFmtId="4" fontId="0" fillId="0" borderId="0" xfId="0" applyNumberFormat="1" applyFont="1" applyFill="1" applyBorder="1" applyAlignment="1">
      <alignment horizontal="center" vertical="center"/>
    </xf>
    <xf numFmtId="4" fontId="0" fillId="0" borderId="0" xfId="0" applyNumberFormat="1" applyAlignment="1">
      <alignment horizontal="center" vertical="center"/>
    </xf>
    <xf numFmtId="4" fontId="26" fillId="10" borderId="3" xfId="0" applyNumberFormat="1" applyFont="1" applyFill="1" applyBorder="1" applyAlignment="1">
      <alignment horizontal="center" vertical="center"/>
    </xf>
    <xf numFmtId="4" fontId="33" fillId="10" borderId="3" xfId="0" applyNumberFormat="1" applyFont="1" applyFill="1" applyBorder="1" applyAlignment="1">
      <alignment horizontal="center" vertical="center"/>
    </xf>
    <xf numFmtId="4" fontId="27" fillId="0" borderId="108" xfId="0" applyNumberFormat="1" applyFont="1" applyBorder="1" applyAlignment="1">
      <alignment horizontal="center"/>
    </xf>
    <xf numFmtId="0" fontId="33" fillId="0" borderId="143" xfId="0" applyFont="1" applyFill="1" applyBorder="1" applyAlignment="1">
      <alignment horizontal="right"/>
    </xf>
    <xf numFmtId="0" fontId="33" fillId="0" borderId="3" xfId="0" applyFont="1" applyFill="1" applyBorder="1" applyAlignment="1">
      <alignment horizontal="right"/>
    </xf>
    <xf numFmtId="265" fontId="0" fillId="0" borderId="3" xfId="0" applyNumberFormat="1" applyFill="1" applyBorder="1" applyAlignment="1">
      <alignment horizontal="center" vertical="center"/>
    </xf>
    <xf numFmtId="224" fontId="0" fillId="0" borderId="144" xfId="0" applyNumberFormat="1" applyFont="1" applyFill="1" applyBorder="1" applyAlignment="1">
      <alignment horizontal="center" vertical="center"/>
    </xf>
    <xf numFmtId="224" fontId="0" fillId="0" borderId="0" xfId="0" applyNumberFormat="1" applyFont="1" applyFill="1" applyBorder="1" applyAlignment="1">
      <alignment horizontal="center" vertical="center"/>
    </xf>
    <xf numFmtId="265" fontId="29" fillId="0" borderId="97" xfId="0" applyNumberFormat="1" applyFont="1" applyFill="1" applyBorder="1" applyAlignment="1">
      <alignment horizontal="center" vertical="center"/>
    </xf>
    <xf numFmtId="224" fontId="0" fillId="0" borderId="143" xfId="0" applyNumberFormat="1" applyFont="1" applyFill="1" applyBorder="1" applyAlignment="1">
      <alignment horizontal="center" vertical="center"/>
    </xf>
    <xf numFmtId="265" fontId="29" fillId="0" borderId="3" xfId="0" applyNumberFormat="1" applyFont="1" applyFill="1" applyBorder="1" applyAlignment="1">
      <alignment horizontal="center" vertical="center"/>
    </xf>
    <xf numFmtId="0" fontId="0" fillId="0" borderId="3" xfId="0" applyBorder="1" applyAlignment="1">
      <alignment horizontal="right"/>
    </xf>
    <xf numFmtId="224" fontId="0" fillId="0" borderId="3" xfId="0" applyNumberFormat="1" applyFont="1" applyFill="1" applyBorder="1" applyAlignment="1">
      <alignment horizontal="center" vertical="center"/>
    </xf>
    <xf numFmtId="0" fontId="0" fillId="0" borderId="146" xfId="0" applyFont="1" applyFill="1" applyBorder="1" applyAlignment="1">
      <alignment horizontal="right"/>
    </xf>
    <xf numFmtId="0" fontId="0" fillId="0" borderId="97" xfId="0" applyFont="1" applyFill="1" applyBorder="1" applyAlignment="1">
      <alignment horizontal="right"/>
    </xf>
    <xf numFmtId="0" fontId="0" fillId="0" borderId="0" xfId="0" applyBorder="1" applyAlignment="1">
      <alignment horizontal="right"/>
    </xf>
    <xf numFmtId="0" fontId="35" fillId="0" borderId="33" xfId="210" applyFont="1" applyBorder="1" applyAlignment="1">
      <alignment horizontal="center" vertical="center"/>
    </xf>
    <xf numFmtId="0" fontId="35" fillId="0" borderId="15" xfId="210" applyFont="1" applyBorder="1" applyAlignment="1">
      <alignment horizontal="center" vertical="center"/>
    </xf>
    <xf numFmtId="0" fontId="35" fillId="0" borderId="47" xfId="210" applyFont="1" applyBorder="1" applyAlignment="1">
      <alignment horizontal="center" vertical="center"/>
    </xf>
    <xf numFmtId="178" fontId="95" fillId="0" borderId="0" xfId="0" applyNumberFormat="1" applyFont="1" applyAlignment="1">
      <alignment horizontal="center" vertical="center"/>
    </xf>
    <xf numFmtId="3" fontId="33" fillId="10" borderId="3" xfId="0" applyNumberFormat="1" applyFont="1" applyFill="1" applyBorder="1" applyAlignment="1">
      <alignment horizontal="center" vertical="center"/>
    </xf>
    <xf numFmtId="266" fontId="37" fillId="43" borderId="33" xfId="210" applyNumberFormat="1" applyFont="1" applyFill="1" applyBorder="1" applyAlignment="1">
      <alignment horizontal="center" vertical="center"/>
    </xf>
    <xf numFmtId="266" fontId="37" fillId="45" borderId="33" xfId="210" applyNumberFormat="1" applyFont="1" applyFill="1" applyBorder="1" applyAlignment="1">
      <alignment horizontal="center" vertical="center"/>
    </xf>
    <xf numFmtId="266" fontId="37" fillId="45" borderId="13" xfId="210" applyNumberFormat="1" applyFont="1" applyFill="1" applyBorder="1" applyAlignment="1">
      <alignment horizontal="center" vertical="center"/>
    </xf>
    <xf numFmtId="259" fontId="40" fillId="0" borderId="5" xfId="210" applyNumberFormat="1" applyFont="1" applyBorder="1" applyAlignment="1">
      <alignment horizontal="center" vertical="center"/>
    </xf>
    <xf numFmtId="0" fontId="35" fillId="0" borderId="30" xfId="210" applyNumberFormat="1" applyFont="1" applyBorder="1" applyAlignment="1">
      <alignment vertical="center"/>
    </xf>
    <xf numFmtId="259" fontId="88" fillId="0" borderId="66" xfId="210" applyNumberFormat="1" applyFont="1" applyFill="1" applyBorder="1" applyAlignment="1">
      <alignment horizontal="center" vertical="center"/>
    </xf>
    <xf numFmtId="259" fontId="88" fillId="0" borderId="20" xfId="210" applyNumberFormat="1" applyFont="1" applyFill="1" applyBorder="1" applyAlignment="1">
      <alignment horizontal="center" vertical="center"/>
    </xf>
    <xf numFmtId="184" fontId="41" fillId="0" borderId="0" xfId="210" applyNumberFormat="1" applyFont="1" applyAlignment="1">
      <alignment horizontal="center" vertical="center"/>
    </xf>
    <xf numFmtId="267" fontId="77" fillId="0" borderId="33" xfId="0" applyNumberFormat="1" applyFont="1" applyBorder="1" applyAlignment="1">
      <alignment horizontal="center" vertical="center"/>
    </xf>
    <xf numFmtId="268" fontId="77" fillId="0" borderId="33" xfId="0" applyNumberFormat="1" applyFont="1" applyBorder="1" applyAlignment="1">
      <alignment horizontal="center" vertical="center"/>
    </xf>
    <xf numFmtId="0" fontId="35" fillId="0" borderId="47" xfId="210" applyFont="1" applyBorder="1" applyAlignment="1">
      <alignment horizontal="center" vertical="center"/>
    </xf>
    <xf numFmtId="0" fontId="35" fillId="0" borderId="33" xfId="210" applyFont="1" applyBorder="1" applyAlignment="1">
      <alignment horizontal="center" vertical="center"/>
    </xf>
    <xf numFmtId="0" fontId="35" fillId="0" borderId="15" xfId="210" applyFont="1" applyBorder="1" applyAlignment="1">
      <alignment horizontal="center" vertical="center"/>
    </xf>
    <xf numFmtId="0" fontId="35" fillId="0" borderId="139" xfId="210" applyFont="1" applyBorder="1" applyAlignment="1">
      <alignment horizontal="center" vertical="center"/>
    </xf>
    <xf numFmtId="0" fontId="35" fillId="0" borderId="135" xfId="210" applyFont="1" applyBorder="1" applyAlignment="1">
      <alignment horizontal="center" vertical="center"/>
    </xf>
    <xf numFmtId="0" fontId="35" fillId="0" borderId="31" xfId="210" applyFont="1" applyFill="1" applyBorder="1" applyAlignment="1">
      <alignment horizontal="left" vertical="center"/>
    </xf>
    <xf numFmtId="0" fontId="35" fillId="0" borderId="13" xfId="210" applyFont="1" applyFill="1" applyBorder="1" applyAlignment="1">
      <alignment horizontal="left" vertical="center"/>
    </xf>
    <xf numFmtId="0" fontId="35" fillId="0" borderId="33" xfId="210" applyFont="1" applyBorder="1" applyAlignment="1">
      <alignment horizontal="center" vertical="center"/>
    </xf>
    <xf numFmtId="0" fontId="29" fillId="0" borderId="0" xfId="0" applyFont="1" applyFill="1" applyAlignment="1">
      <alignment horizontal="right"/>
    </xf>
    <xf numFmtId="0" fontId="0" fillId="0" borderId="0" xfId="0" applyFill="1" applyAlignment="1">
      <alignment horizontal="right"/>
    </xf>
    <xf numFmtId="265" fontId="29" fillId="0" borderId="0" xfId="0" applyNumberFormat="1" applyFont="1" applyFill="1" applyAlignment="1">
      <alignment horizontal="center" vertical="center"/>
    </xf>
    <xf numFmtId="210" fontId="18" fillId="0" borderId="33" xfId="0" applyNumberFormat="1" applyFont="1" applyBorder="1" applyAlignment="1">
      <alignment horizontal="center" vertical="center"/>
    </xf>
    <xf numFmtId="0" fontId="0" fillId="0" borderId="33" xfId="0" applyBorder="1" applyAlignment="1">
      <alignment horizontal="center" vertical="center" wrapText="1"/>
    </xf>
    <xf numFmtId="0" fontId="90" fillId="0" borderId="33" xfId="0" applyFont="1" applyBorder="1" applyAlignment="1">
      <alignment horizontal="center" vertical="top" wrapText="1"/>
    </xf>
    <xf numFmtId="0" fontId="0" fillId="0" borderId="33" xfId="0" applyBorder="1" applyAlignment="1">
      <alignment horizontal="center" wrapText="1"/>
    </xf>
    <xf numFmtId="0" fontId="0" fillId="0" borderId="33" xfId="0" applyBorder="1" applyAlignment="1">
      <alignment horizontal="center" vertical="center"/>
    </xf>
    <xf numFmtId="0" fontId="90" fillId="0" borderId="33" xfId="0" applyFont="1" applyBorder="1" applyAlignment="1">
      <alignment horizontal="center" vertical="center" wrapText="1"/>
    </xf>
    <xf numFmtId="177" fontId="0" fillId="0" borderId="0" xfId="0" applyNumberFormat="1" applyFill="1" applyAlignment="1">
      <alignment horizontal="center" vertical="center"/>
    </xf>
    <xf numFmtId="177" fontId="96" fillId="0" borderId="0" xfId="210" applyNumberFormat="1" applyFont="1" applyAlignment="1">
      <alignment horizontal="center"/>
    </xf>
    <xf numFmtId="9" fontId="0" fillId="0" borderId="0" xfId="207" applyNumberFormat="1" applyFont="1"/>
    <xf numFmtId="9" fontId="0" fillId="0" borderId="0" xfId="0" applyNumberFormat="1"/>
    <xf numFmtId="178" fontId="0" fillId="0" borderId="0" xfId="0" applyNumberFormat="1" applyFont="1" applyAlignment="1">
      <alignment horizontal="center" vertical="center"/>
    </xf>
    <xf numFmtId="198" fontId="23" fillId="41" borderId="33" xfId="0" applyNumberFormat="1" applyFont="1" applyFill="1" applyBorder="1" applyAlignment="1">
      <alignment horizontal="center" vertical="center"/>
    </xf>
    <xf numFmtId="212" fontId="21" fillId="0" borderId="33" xfId="0" applyNumberFormat="1" applyFont="1" applyBorder="1" applyAlignment="1">
      <alignment horizontal="center" vertical="center"/>
    </xf>
    <xf numFmtId="16" fontId="26" fillId="4" borderId="0" xfId="0" applyNumberFormat="1" applyFont="1" applyFill="1" applyAlignment="1">
      <alignment horizontal="center" vertical="center"/>
    </xf>
    <xf numFmtId="269" fontId="92" fillId="4" borderId="33" xfId="210" applyNumberFormat="1" applyFont="1" applyFill="1" applyBorder="1" applyAlignment="1">
      <alignment horizontal="center" vertical="center" wrapText="1"/>
    </xf>
    <xf numFmtId="0" fontId="26" fillId="0" borderId="33" xfId="0" applyFont="1" applyBorder="1" applyAlignment="1">
      <alignment horizontal="center" vertical="center" wrapText="1"/>
    </xf>
    <xf numFmtId="0" fontId="26" fillId="0" borderId="33" xfId="0" applyFont="1" applyBorder="1" applyAlignment="1">
      <alignment horizontal="center" vertical="center"/>
    </xf>
    <xf numFmtId="0" fontId="97" fillId="0" borderId="33" xfId="0" applyFont="1" applyBorder="1" applyAlignment="1">
      <alignment horizontal="center" vertical="center" wrapText="1"/>
    </xf>
    <xf numFmtId="0" fontId="0" fillId="0" borderId="33" xfId="0" applyFill="1" applyBorder="1" applyAlignment="1">
      <alignment horizontal="center" vertical="center" wrapText="1"/>
    </xf>
    <xf numFmtId="0" fontId="26" fillId="0" borderId="0" xfId="0" applyFont="1" applyFill="1" applyBorder="1" applyAlignment="1">
      <alignment horizontal="center" vertical="center" wrapText="1"/>
    </xf>
    <xf numFmtId="264" fontId="18" fillId="0" borderId="0" xfId="0" applyNumberFormat="1" applyFont="1" applyFill="1" applyBorder="1" applyAlignment="1" applyProtection="1">
      <alignment horizontal="center" vertical="center"/>
      <protection locked="0"/>
    </xf>
    <xf numFmtId="0" fontId="0" fillId="0" borderId="97" xfId="0" applyBorder="1" applyAlignment="1">
      <alignment horizontal="center"/>
    </xf>
    <xf numFmtId="16" fontId="94" fillId="4" borderId="0" xfId="0" applyNumberFormat="1" applyFont="1" applyFill="1" applyAlignment="1">
      <alignment horizontal="center" vertical="center"/>
    </xf>
    <xf numFmtId="0" fontId="0" fillId="0" borderId="0" xfId="0" applyAlignment="1"/>
    <xf numFmtId="0" fontId="26" fillId="0" borderId="0" xfId="0" applyFont="1" applyFill="1" applyAlignment="1">
      <alignment horizontal="center" vertical="center"/>
    </xf>
    <xf numFmtId="4" fontId="60" fillId="0" borderId="106" xfId="0" applyNumberFormat="1" applyFont="1" applyBorder="1" applyAlignment="1">
      <alignment horizontal="center"/>
    </xf>
    <xf numFmtId="0" fontId="0" fillId="2" borderId="0" xfId="0" applyFill="1" applyAlignment="1">
      <alignment horizontal="center" vertical="center"/>
    </xf>
    <xf numFmtId="0" fontId="0" fillId="9" borderId="0" xfId="0" applyFill="1" applyAlignment="1">
      <alignment horizontal="center" vertical="center"/>
    </xf>
    <xf numFmtId="0" fontId="0" fillId="32" borderId="0" xfId="0" applyFill="1" applyAlignment="1">
      <alignment horizontal="center" vertical="center"/>
    </xf>
    <xf numFmtId="0" fontId="0" fillId="6" borderId="0" xfId="0" applyFill="1" applyAlignment="1">
      <alignment horizontal="center" vertical="center"/>
    </xf>
    <xf numFmtId="4" fontId="35" fillId="0" borderId="0" xfId="210" applyNumberFormat="1" applyFont="1" applyAlignment="1">
      <alignment horizontal="center"/>
    </xf>
    <xf numFmtId="4" fontId="35" fillId="0" borderId="0" xfId="210" applyNumberFormat="1" applyFont="1" applyAlignment="1">
      <alignment horizontal="center" vertical="center"/>
    </xf>
    <xf numFmtId="4" fontId="0" fillId="0" borderId="0" xfId="212" applyNumberFormat="1" applyFont="1" applyFill="1" applyAlignment="1">
      <alignment horizontal="center" vertical="center"/>
    </xf>
    <xf numFmtId="177" fontId="0" fillId="0" borderId="0" xfId="212" applyNumberFormat="1" applyFont="1" applyFill="1" applyAlignment="1">
      <alignment horizontal="center" vertical="center"/>
    </xf>
    <xf numFmtId="0" fontId="35" fillId="0" borderId="33" xfId="210" applyFont="1" applyBorder="1" applyAlignment="1">
      <alignment horizontal="center" vertical="center"/>
    </xf>
    <xf numFmtId="0" fontId="35" fillId="0" borderId="15" xfId="210" applyFont="1" applyBorder="1" applyAlignment="1">
      <alignment horizontal="center" vertical="center"/>
    </xf>
    <xf numFmtId="0" fontId="35" fillId="0" borderId="47" xfId="210" applyFont="1" applyBorder="1" applyAlignment="1">
      <alignment horizontal="center" vertical="center"/>
    </xf>
    <xf numFmtId="0" fontId="35" fillId="0" borderId="47" xfId="210" applyFont="1" applyBorder="1" applyAlignment="1">
      <alignment horizontal="center" vertical="center"/>
    </xf>
    <xf numFmtId="188" fontId="56" fillId="4" borderId="6" xfId="207" applyNumberFormat="1" applyFont="1" applyFill="1" applyBorder="1" applyAlignment="1" applyProtection="1">
      <alignment horizontal="center" vertical="center"/>
      <protection locked="0"/>
    </xf>
    <xf numFmtId="188" fontId="56" fillId="4" borderId="22" xfId="207" applyNumberFormat="1" applyFont="1" applyFill="1" applyBorder="1" applyAlignment="1" applyProtection="1">
      <alignment horizontal="center" vertical="center"/>
      <protection locked="0"/>
    </xf>
    <xf numFmtId="188" fontId="56" fillId="4" borderId="33" xfId="207" applyNumberFormat="1" applyFont="1" applyFill="1" applyBorder="1" applyAlignment="1" applyProtection="1">
      <alignment horizontal="center" vertical="center"/>
      <protection locked="0"/>
    </xf>
    <xf numFmtId="0" fontId="35" fillId="0" borderId="33" xfId="210" applyFont="1" applyBorder="1" applyAlignment="1">
      <alignment horizontal="center" vertical="center"/>
    </xf>
    <xf numFmtId="0" fontId="35" fillId="0" borderId="15" xfId="210" applyFont="1" applyBorder="1" applyAlignment="1">
      <alignment horizontal="center" vertical="center"/>
    </xf>
    <xf numFmtId="0" fontId="35" fillId="0" borderId="139" xfId="210" applyFont="1" applyBorder="1" applyAlignment="1">
      <alignment horizontal="center" vertical="center"/>
    </xf>
    <xf numFmtId="0" fontId="0" fillId="0" borderId="33" xfId="0" applyBorder="1" applyAlignment="1">
      <alignment horizontal="center" vertical="center"/>
    </xf>
    <xf numFmtId="181" fontId="0" fillId="0" borderId="15" xfId="0" applyNumberFormat="1" applyBorder="1" applyAlignment="1">
      <alignment horizontal="center" vertical="center" wrapText="1"/>
    </xf>
    <xf numFmtId="181" fontId="0" fillId="0" borderId="16" xfId="0" applyNumberFormat="1" applyBorder="1" applyAlignment="1">
      <alignment horizontal="center" vertical="center" wrapText="1"/>
    </xf>
    <xf numFmtId="181" fontId="0" fillId="0" borderId="14" xfId="0" applyNumberFormat="1" applyBorder="1" applyAlignment="1">
      <alignment horizontal="center" vertical="center" wrapText="1"/>
    </xf>
    <xf numFmtId="181" fontId="0" fillId="15" borderId="15" xfId="0" applyNumberFormat="1" applyFill="1" applyBorder="1" applyAlignment="1">
      <alignment horizontal="center" vertical="center" wrapText="1"/>
    </xf>
    <xf numFmtId="181" fontId="0" fillId="15" borderId="16" xfId="0" applyNumberFormat="1" applyFill="1" applyBorder="1" applyAlignment="1">
      <alignment horizontal="center" vertical="center" wrapText="1"/>
    </xf>
    <xf numFmtId="194" fontId="43" fillId="20" borderId="33" xfId="0" applyNumberFormat="1" applyFont="1" applyFill="1" applyBorder="1" applyAlignment="1">
      <alignment horizontal="center" vertical="center" wrapText="1"/>
    </xf>
    <xf numFmtId="178" fontId="26" fillId="0" borderId="0" xfId="0" applyNumberFormat="1" applyFont="1" applyAlignment="1">
      <alignment horizontal="center"/>
    </xf>
    <xf numFmtId="178" fontId="27" fillId="0" borderId="0" xfId="0" applyNumberFormat="1" applyFont="1" applyAlignment="1">
      <alignment horizontal="center"/>
    </xf>
    <xf numFmtId="0" fontId="0" fillId="0" borderId="0" xfId="0" applyAlignment="1">
      <alignment horizontal="center" vertical="center"/>
    </xf>
    <xf numFmtId="16" fontId="26" fillId="4" borderId="147" xfId="96" applyNumberFormat="1" applyFont="1" applyFill="1" applyBorder="1" applyAlignment="1">
      <alignment horizontal="center" vertical="center" wrapText="1"/>
    </xf>
    <xf numFmtId="16" fontId="26" fillId="4" borderId="148" xfId="96" applyNumberFormat="1" applyFont="1" applyFill="1" applyBorder="1" applyAlignment="1">
      <alignment horizontal="center" vertical="center" wrapText="1"/>
    </xf>
    <xf numFmtId="16" fontId="26" fillId="4" borderId="149" xfId="96" applyNumberFormat="1" applyFont="1" applyFill="1" applyBorder="1" applyAlignment="1">
      <alignment horizontal="center" vertical="center" wrapText="1"/>
    </xf>
    <xf numFmtId="0" fontId="0" fillId="19" borderId="3" xfId="0" applyFill="1" applyBorder="1" applyAlignment="1">
      <alignment horizontal="centerContinuous" vertical="center" wrapText="1"/>
    </xf>
    <xf numFmtId="0" fontId="0" fillId="19" borderId="37" xfId="0" applyFill="1" applyBorder="1" applyAlignment="1">
      <alignment vertical="center" wrapText="1"/>
    </xf>
    <xf numFmtId="0" fontId="0" fillId="13" borderId="3" xfId="0" applyFill="1" applyBorder="1" applyAlignment="1">
      <alignment horizontal="centerContinuous" vertical="center" wrapText="1"/>
    </xf>
    <xf numFmtId="0" fontId="0" fillId="13" borderId="0" xfId="0" applyFill="1" applyAlignment="1">
      <alignment horizontal="center" vertical="center" wrapText="1"/>
    </xf>
    <xf numFmtId="0" fontId="0" fillId="19" borderId="30" xfId="0" applyFill="1" applyBorder="1" applyAlignment="1">
      <alignment vertical="center" wrapText="1"/>
    </xf>
    <xf numFmtId="194" fontId="29" fillId="20" borderId="33" xfId="0" applyNumberFormat="1" applyFont="1" applyFill="1" applyBorder="1" applyAlignment="1">
      <alignment vertical="center" wrapText="1"/>
    </xf>
    <xf numFmtId="200" fontId="26" fillId="0" borderId="33" xfId="0" applyNumberFormat="1" applyFont="1" applyBorder="1" applyAlignment="1">
      <alignment horizontal="center" vertical="center"/>
    </xf>
    <xf numFmtId="200" fontId="0" fillId="0" borderId="150" xfId="0" applyNumberFormat="1" applyBorder="1" applyAlignment="1">
      <alignment horizontal="center"/>
    </xf>
    <xf numFmtId="0" fontId="0" fillId="0" borderId="150" xfId="0" applyBorder="1"/>
    <xf numFmtId="204" fontId="0" fillId="0" borderId="150" xfId="0" applyNumberFormat="1" applyBorder="1"/>
    <xf numFmtId="2" fontId="0" fillId="0" borderId="150" xfId="0" applyNumberFormat="1" applyBorder="1" applyAlignment="1">
      <alignment horizontal="center"/>
    </xf>
    <xf numFmtId="0" fontId="68" fillId="10" borderId="151" xfId="0" applyFont="1" applyFill="1" applyBorder="1" applyAlignment="1">
      <alignment horizontal="center"/>
    </xf>
    <xf numFmtId="0" fontId="68" fillId="2" borderId="17" xfId="0" applyFont="1" applyFill="1" applyBorder="1"/>
    <xf numFmtId="0" fontId="0" fillId="49" borderId="19" xfId="0" applyFill="1" applyBorder="1" applyAlignment="1">
      <alignment horizontal="center"/>
    </xf>
    <xf numFmtId="0" fontId="0" fillId="0" borderId="21" xfId="0" applyBorder="1" applyAlignment="1">
      <alignment horizontal="center"/>
    </xf>
    <xf numFmtId="3" fontId="0" fillId="0" borderId="23" xfId="0" applyNumberFormat="1" applyBorder="1" applyAlignment="1">
      <alignment horizontal="center"/>
    </xf>
    <xf numFmtId="0" fontId="0" fillId="25" borderId="8" xfId="0" applyFill="1" applyBorder="1" applyAlignment="1">
      <alignment horizontal="center"/>
    </xf>
    <xf numFmtId="0" fontId="0" fillId="0" borderId="12" xfId="0" applyBorder="1" applyAlignment="1">
      <alignment horizontal="center"/>
    </xf>
    <xf numFmtId="3" fontId="0" fillId="0" borderId="13" xfId="0" applyNumberFormat="1" applyBorder="1" applyAlignment="1">
      <alignment horizontal="center"/>
    </xf>
    <xf numFmtId="0" fontId="0" fillId="48" borderId="4" xfId="0" applyFill="1" applyBorder="1" applyAlignment="1">
      <alignment horizontal="center"/>
    </xf>
    <xf numFmtId="0" fontId="0" fillId="18" borderId="6" xfId="0" applyFill="1" applyBorder="1" applyAlignment="1">
      <alignment horizontal="center"/>
    </xf>
    <xf numFmtId="0" fontId="0" fillId="48" borderId="6" xfId="0" applyFill="1" applyBorder="1" applyAlignment="1">
      <alignment horizontal="center"/>
    </xf>
    <xf numFmtId="0" fontId="0" fillId="18" borderId="54" xfId="0" applyFill="1" applyBorder="1" applyAlignment="1">
      <alignment horizontal="center"/>
    </xf>
    <xf numFmtId="0" fontId="0" fillId="48" borderId="20" xfId="0" applyFill="1" applyBorder="1" applyAlignment="1">
      <alignment horizontal="center"/>
    </xf>
    <xf numFmtId="0" fontId="0" fillId="18" borderId="35" xfId="0" applyFill="1" applyBorder="1" applyAlignment="1">
      <alignment horizontal="center"/>
    </xf>
    <xf numFmtId="0" fontId="0" fillId="0" borderId="14" xfId="0" applyBorder="1" applyAlignment="1">
      <alignment horizontal="center"/>
    </xf>
    <xf numFmtId="0" fontId="0" fillId="0" borderId="57" xfId="0" applyBorder="1" applyAlignment="1">
      <alignment horizontal="center"/>
    </xf>
    <xf numFmtId="0" fontId="0" fillId="0" borderId="101" xfId="0" applyBorder="1" applyAlignment="1">
      <alignment horizontal="center"/>
    </xf>
    <xf numFmtId="0" fontId="0" fillId="0" borderId="151" xfId="0" applyBorder="1" applyAlignment="1">
      <alignment horizontal="center"/>
    </xf>
    <xf numFmtId="3" fontId="0" fillId="0" borderId="16" xfId="0" applyNumberFormat="1" applyBorder="1" applyAlignment="1">
      <alignment horizontal="center"/>
    </xf>
    <xf numFmtId="0" fontId="0" fillId="0" borderId="79" xfId="0" applyBorder="1" applyAlignment="1">
      <alignment horizontal="center"/>
    </xf>
    <xf numFmtId="3" fontId="0" fillId="0" borderId="81" xfId="0" applyNumberFormat="1" applyBorder="1" applyAlignment="1">
      <alignment horizontal="center"/>
    </xf>
    <xf numFmtId="270" fontId="37" fillId="0" borderId="0" xfId="210" applyNumberFormat="1" applyFont="1" applyAlignment="1">
      <alignment horizontal="center" vertical="center"/>
    </xf>
    <xf numFmtId="194" fontId="43" fillId="20" borderId="30" xfId="0" applyNumberFormat="1" applyFont="1" applyFill="1" applyBorder="1" applyAlignment="1">
      <alignment vertical="center" wrapText="1"/>
    </xf>
    <xf numFmtId="261" fontId="37" fillId="0" borderId="20" xfId="210" applyNumberFormat="1" applyFont="1" applyBorder="1" applyAlignment="1">
      <alignment horizontal="center" vertical="center"/>
    </xf>
    <xf numFmtId="261" fontId="35" fillId="0" borderId="26" xfId="210" applyNumberFormat="1" applyFont="1" applyBorder="1" applyAlignment="1">
      <alignment vertical="center"/>
    </xf>
    <xf numFmtId="261" fontId="35" fillId="0" borderId="6" xfId="210" applyNumberFormat="1" applyFont="1" applyBorder="1" applyAlignment="1">
      <alignment vertical="center"/>
    </xf>
    <xf numFmtId="261" fontId="35" fillId="0" borderId="5" xfId="210" applyNumberFormat="1" applyFont="1" applyBorder="1" applyAlignment="1">
      <alignment vertical="center"/>
    </xf>
    <xf numFmtId="9" fontId="0" fillId="0" borderId="0" xfId="207" applyFont="1"/>
    <xf numFmtId="205" fontId="0" fillId="0" borderId="0" xfId="0" applyNumberFormat="1" applyAlignment="1">
      <alignment horizontal="center"/>
    </xf>
    <xf numFmtId="0" fontId="18" fillId="0" borderId="0" xfId="0" applyFont="1" applyFill="1" applyBorder="1" applyAlignment="1">
      <alignment horizontal="left" vertical="center" wrapText="1"/>
    </xf>
    <xf numFmtId="0" fontId="35" fillId="0" borderId="0" xfId="210" applyFont="1" applyFill="1" applyBorder="1" applyAlignment="1">
      <alignment horizontal="left" vertical="center"/>
    </xf>
    <xf numFmtId="8" fontId="38" fillId="0" borderId="37" xfId="210" applyNumberFormat="1" applyFont="1" applyBorder="1" applyAlignment="1">
      <alignment vertical="center"/>
    </xf>
    <xf numFmtId="0" fontId="35" fillId="0" borderId="147" xfId="210" applyFont="1" applyBorder="1" applyAlignment="1">
      <alignment horizontal="center" vertical="center"/>
    </xf>
    <xf numFmtId="0" fontId="35" fillId="0" borderId="148" xfId="210" applyFont="1" applyBorder="1" applyAlignment="1">
      <alignment horizontal="center" vertical="center"/>
    </xf>
    <xf numFmtId="0" fontId="35" fillId="0" borderId="148" xfId="210" applyFont="1" applyBorder="1" applyAlignment="1">
      <alignment horizontal="left" vertical="center"/>
    </xf>
    <xf numFmtId="10" fontId="56" fillId="4" borderId="148" xfId="207" applyNumberFormat="1" applyFont="1" applyFill="1" applyBorder="1" applyAlignment="1" applyProtection="1">
      <alignment horizontal="center" vertical="center"/>
      <protection locked="0"/>
    </xf>
    <xf numFmtId="0" fontId="18" fillId="0" borderId="148" xfId="0" applyFont="1" applyFill="1" applyBorder="1" applyAlignment="1">
      <alignment horizontal="left" vertical="center" wrapText="1"/>
    </xf>
    <xf numFmtId="175" fontId="18" fillId="0" borderId="148" xfId="0" applyNumberFormat="1" applyFont="1" applyBorder="1" applyAlignment="1">
      <alignment horizontal="center" vertical="center"/>
    </xf>
    <xf numFmtId="0" fontId="18" fillId="0" borderId="148" xfId="0" applyFont="1" applyBorder="1" applyAlignment="1">
      <alignment horizontal="left" vertical="center" wrapText="1"/>
    </xf>
    <xf numFmtId="0" fontId="35" fillId="0" borderId="149" xfId="210" applyFont="1" applyBorder="1" applyAlignment="1">
      <alignment horizontal="left" vertical="center"/>
    </xf>
    <xf numFmtId="259" fontId="37" fillId="0" borderId="152" xfId="210" applyNumberFormat="1" applyFont="1" applyBorder="1" applyAlignment="1">
      <alignment horizontal="center" vertical="center"/>
    </xf>
    <xf numFmtId="259" fontId="35" fillId="0" borderId="153" xfId="210" applyNumberFormat="1" applyFont="1" applyBorder="1" applyAlignment="1">
      <alignment vertical="center"/>
    </xf>
    <xf numFmtId="259" fontId="35" fillId="0" borderId="148" xfId="210" applyNumberFormat="1" applyFont="1" applyBorder="1" applyAlignment="1">
      <alignment vertical="center"/>
    </xf>
    <xf numFmtId="259" fontId="35" fillId="0" borderId="149" xfId="210" applyNumberFormat="1" applyFont="1" applyBorder="1" applyAlignment="1">
      <alignment vertical="center"/>
    </xf>
    <xf numFmtId="259" fontId="88" fillId="0" borderId="20" xfId="210" applyNumberFormat="1" applyFont="1" applyBorder="1" applyAlignment="1">
      <alignment horizontal="center" vertical="center"/>
    </xf>
    <xf numFmtId="259" fontId="39" fillId="0" borderId="5" xfId="210" applyNumberFormat="1" applyFont="1" applyBorder="1" applyAlignment="1">
      <alignment horizontal="center" vertical="center"/>
    </xf>
    <xf numFmtId="261" fontId="88" fillId="0" borderId="20" xfId="210" applyNumberFormat="1" applyFont="1" applyBorder="1" applyAlignment="1">
      <alignment horizontal="center" vertical="center"/>
    </xf>
    <xf numFmtId="261" fontId="37" fillId="0" borderId="4" xfId="210" applyNumberFormat="1" applyFont="1" applyBorder="1" applyAlignment="1">
      <alignment horizontal="center" vertical="center"/>
    </xf>
    <xf numFmtId="261" fontId="37" fillId="0" borderId="6" xfId="210" applyNumberFormat="1" applyFont="1" applyBorder="1" applyAlignment="1">
      <alignment horizontal="center" vertical="center"/>
    </xf>
    <xf numFmtId="261" fontId="39" fillId="0" borderId="5" xfId="210" applyNumberFormat="1" applyFont="1" applyBorder="1" applyAlignment="1">
      <alignment horizontal="center" vertical="center"/>
    </xf>
    <xf numFmtId="0" fontId="35" fillId="0" borderId="154" xfId="210" applyFont="1" applyBorder="1" applyAlignment="1">
      <alignment horizontal="left" vertical="center"/>
    </xf>
    <xf numFmtId="184" fontId="35" fillId="0" borderId="152" xfId="210" applyNumberFormat="1" applyFont="1" applyBorder="1" applyAlignment="1">
      <alignment horizontal="center" vertical="center"/>
    </xf>
    <xf numFmtId="184" fontId="35" fillId="0" borderId="153" xfId="210" applyNumberFormat="1" applyFont="1" applyBorder="1" applyAlignment="1">
      <alignment horizontal="center" vertical="center"/>
    </xf>
    <xf numFmtId="184" fontId="35" fillId="0" borderId="148" xfId="210" applyNumberFormat="1" applyFont="1" applyBorder="1" applyAlignment="1">
      <alignment horizontal="center" vertical="center"/>
    </xf>
    <xf numFmtId="184" fontId="35" fillId="0" borderId="149" xfId="210" applyNumberFormat="1" applyFont="1" applyBorder="1" applyAlignment="1">
      <alignment horizontal="center" vertical="center"/>
    </xf>
    <xf numFmtId="10" fontId="56" fillId="4" borderId="15" xfId="207" applyNumberFormat="1" applyFont="1" applyFill="1" applyBorder="1" applyAlignment="1" applyProtection="1">
      <alignment horizontal="center" vertical="center"/>
      <protection locked="0"/>
    </xf>
    <xf numFmtId="175" fontId="18" fillId="0" borderId="15" xfId="0" applyNumberFormat="1" applyFont="1" applyBorder="1" applyAlignment="1">
      <alignment horizontal="center" vertical="center"/>
    </xf>
    <xf numFmtId="259" fontId="37" fillId="0" borderId="25" xfId="210" applyNumberFormat="1" applyFont="1" applyBorder="1" applyAlignment="1">
      <alignment horizontal="center" vertical="center"/>
    </xf>
    <xf numFmtId="259" fontId="35" fillId="0" borderId="27" xfId="210" applyNumberFormat="1" applyFont="1" applyBorder="1" applyAlignment="1">
      <alignment vertical="center"/>
    </xf>
    <xf numFmtId="259" fontId="35" fillId="0" borderId="15" xfId="210" applyNumberFormat="1" applyFont="1" applyBorder="1" applyAlignment="1">
      <alignment vertical="center"/>
    </xf>
    <xf numFmtId="259" fontId="35" fillId="0" borderId="16" xfId="210" applyNumberFormat="1" applyFont="1" applyBorder="1" applyAlignment="1">
      <alignment vertical="center"/>
    </xf>
    <xf numFmtId="0" fontId="18" fillId="0" borderId="27" xfId="0" applyFont="1" applyBorder="1" applyAlignment="1">
      <alignment horizontal="left" vertical="center" wrapText="1"/>
    </xf>
    <xf numFmtId="0" fontId="18" fillId="0" borderId="6" xfId="0" applyFont="1" applyFill="1" applyBorder="1" applyAlignment="1">
      <alignment horizontal="left" vertical="center"/>
    </xf>
    <xf numFmtId="188" fontId="0" fillId="0" borderId="0" xfId="0" applyNumberFormat="1" applyAlignment="1">
      <alignment horizontal="center"/>
    </xf>
    <xf numFmtId="188" fontId="35" fillId="0" borderId="0" xfId="210" applyNumberFormat="1" applyFont="1" applyAlignment="1">
      <alignment horizontal="center"/>
    </xf>
    <xf numFmtId="256" fontId="29" fillId="0" borderId="0" xfId="0" applyNumberFormat="1" applyFont="1" applyFill="1" applyBorder="1" applyAlignment="1">
      <alignment horizontal="center" vertical="center"/>
    </xf>
    <xf numFmtId="0" fontId="0" fillId="0" borderId="0" xfId="0" applyAlignment="1">
      <alignment horizontal="center" vertical="center"/>
    </xf>
    <xf numFmtId="256" fontId="33" fillId="0" borderId="0" xfId="0" applyNumberFormat="1" applyFont="1" applyFill="1" applyBorder="1" applyAlignment="1">
      <alignment horizontal="center" vertical="center"/>
    </xf>
    <xf numFmtId="256" fontId="33" fillId="8" borderId="3" xfId="0" applyNumberFormat="1" applyFont="1" applyFill="1" applyBorder="1" applyAlignment="1">
      <alignment horizontal="center" vertical="center"/>
    </xf>
    <xf numFmtId="256" fontId="0" fillId="8" borderId="3" xfId="0" applyNumberFormat="1" applyFill="1" applyBorder="1" applyAlignment="1">
      <alignment horizontal="center" vertical="center"/>
    </xf>
    <xf numFmtId="256" fontId="0" fillId="0" borderId="0" xfId="0" applyNumberFormat="1" applyBorder="1" applyAlignment="1">
      <alignment horizontal="center" vertical="center"/>
    </xf>
    <xf numFmtId="172" fontId="18" fillId="0" borderId="33" xfId="0" applyNumberFormat="1" applyFont="1" applyBorder="1" applyAlignment="1">
      <alignment horizontal="center" vertical="center"/>
    </xf>
    <xf numFmtId="210" fontId="18" fillId="0" borderId="33" xfId="0" applyNumberFormat="1" applyFont="1" applyBorder="1" applyAlignment="1">
      <alignment horizontal="center" vertical="center"/>
    </xf>
    <xf numFmtId="198" fontId="23" fillId="0" borderId="33" xfId="0" applyNumberFormat="1" applyFont="1" applyFill="1" applyBorder="1" applyAlignment="1">
      <alignment horizontal="center" vertical="center"/>
    </xf>
    <xf numFmtId="0" fontId="0" fillId="0" borderId="0" xfId="0" applyAlignment="1">
      <alignment horizontal="center" vertical="center"/>
    </xf>
    <xf numFmtId="0" fontId="90" fillId="0" borderId="33" xfId="0" applyFont="1" applyBorder="1" applyAlignment="1">
      <alignment horizontal="left" vertical="top" wrapText="1"/>
    </xf>
    <xf numFmtId="198" fontId="98" fillId="0" borderId="33" xfId="0" applyNumberFormat="1" applyFont="1" applyFill="1" applyBorder="1" applyAlignment="1">
      <alignment horizontal="center" vertical="center"/>
    </xf>
    <xf numFmtId="10" fontId="99" fillId="0" borderId="33" xfId="207" applyNumberFormat="1" applyFont="1" applyFill="1" applyBorder="1" applyAlignment="1">
      <alignment horizontal="center" vertical="center"/>
    </xf>
    <xf numFmtId="264" fontId="100" fillId="9" borderId="33" xfId="0" applyNumberFormat="1" applyFont="1" applyFill="1" applyBorder="1" applyAlignment="1" applyProtection="1">
      <alignment horizontal="center" vertical="center"/>
      <protection locked="0"/>
    </xf>
    <xf numFmtId="0" fontId="59" fillId="0" borderId="33" xfId="0" applyFont="1" applyFill="1" applyBorder="1" applyAlignment="1">
      <alignment horizontal="center" vertical="center" wrapText="1"/>
    </xf>
    <xf numFmtId="0" fontId="59" fillId="0" borderId="33" xfId="0" applyFont="1" applyFill="1" applyBorder="1" applyAlignment="1" applyProtection="1">
      <alignment horizontal="center" vertical="center" wrapText="1"/>
      <protection locked="0"/>
    </xf>
    <xf numFmtId="226" fontId="36" fillId="4" borderId="33" xfId="210" applyNumberFormat="1" applyFont="1" applyFill="1" applyBorder="1" applyAlignment="1">
      <alignment horizontal="center" vertical="center" wrapText="1"/>
    </xf>
    <xf numFmtId="269" fontId="36" fillId="4" borderId="33" xfId="210" applyNumberFormat="1" applyFont="1" applyFill="1" applyBorder="1" applyAlignment="1">
      <alignment horizontal="center" vertical="center" wrapText="1"/>
    </xf>
    <xf numFmtId="0" fontId="28" fillId="0" borderId="33" xfId="0" applyFont="1" applyBorder="1" applyAlignment="1">
      <alignment horizontal="center" vertical="center" wrapText="1"/>
    </xf>
    <xf numFmtId="0" fontId="28" fillId="0" borderId="33" xfId="0" applyFont="1" applyBorder="1" applyAlignment="1">
      <alignment horizontal="center" vertical="center"/>
    </xf>
    <xf numFmtId="0" fontId="59" fillId="0" borderId="33" xfId="0" applyFont="1" applyFill="1" applyBorder="1" applyAlignment="1">
      <alignment horizontal="left" vertical="center" wrapText="1"/>
    </xf>
    <xf numFmtId="0" fontId="59" fillId="0" borderId="33" xfId="0" applyFont="1" applyFill="1" applyBorder="1" applyAlignment="1" applyProtection="1">
      <alignment horizontal="left" vertical="center" wrapText="1"/>
      <protection locked="0"/>
    </xf>
    <xf numFmtId="178" fontId="53" fillId="0" borderId="33" xfId="0" applyNumberFormat="1" applyFont="1" applyFill="1" applyBorder="1" applyAlignment="1" applyProtection="1">
      <alignment horizontal="center" vertical="center"/>
      <protection locked="0"/>
    </xf>
    <xf numFmtId="0" fontId="28" fillId="0" borderId="34" xfId="0" applyFont="1" applyBorder="1" applyAlignment="1">
      <alignment horizontal="left" vertical="center"/>
    </xf>
    <xf numFmtId="220" fontId="27" fillId="4" borderId="33" xfId="0" applyNumberFormat="1" applyFont="1" applyFill="1" applyBorder="1" applyAlignment="1">
      <alignment horizontal="left"/>
    </xf>
    <xf numFmtId="191" fontId="27" fillId="0" borderId="114" xfId="0" applyNumberFormat="1" applyFont="1" applyBorder="1" applyAlignment="1">
      <alignment horizontal="left"/>
    </xf>
    <xf numFmtId="191" fontId="27" fillId="0" borderId="116" xfId="0" applyNumberFormat="1" applyFont="1" applyBorder="1" applyAlignment="1">
      <alignment horizontal="left"/>
    </xf>
    <xf numFmtId="191" fontId="27" fillId="0" borderId="124" xfId="0" applyNumberFormat="1" applyFont="1" applyBorder="1" applyAlignment="1">
      <alignment horizontal="left"/>
    </xf>
    <xf numFmtId="0" fontId="0" fillId="0" borderId="0" xfId="0" applyAlignment="1">
      <alignment horizontal="left" indent="1"/>
    </xf>
    <xf numFmtId="0" fontId="35" fillId="0" borderId="47" xfId="210" applyFont="1" applyBorder="1" applyAlignment="1">
      <alignment horizontal="center" vertical="center"/>
    </xf>
    <xf numFmtId="0" fontId="35" fillId="0" borderId="33" xfId="210" applyFont="1" applyBorder="1" applyAlignment="1">
      <alignment horizontal="center" vertical="center"/>
    </xf>
    <xf numFmtId="0" fontId="35" fillId="0" borderId="139" xfId="210" applyFont="1" applyBorder="1" applyAlignment="1">
      <alignment horizontal="center" vertical="center"/>
    </xf>
    <xf numFmtId="0" fontId="35" fillId="0" borderId="15" xfId="210" applyFont="1" applyBorder="1" applyAlignment="1">
      <alignment horizontal="center" vertical="center"/>
    </xf>
    <xf numFmtId="272" fontId="0" fillId="0" borderId="0" xfId="0" applyNumberFormat="1" applyAlignment="1">
      <alignment horizontal="center"/>
    </xf>
    <xf numFmtId="0" fontId="26" fillId="0" borderId="58" xfId="0" applyFont="1" applyFill="1" applyBorder="1" applyAlignment="1">
      <alignment horizontal="center" vertical="center" wrapText="1"/>
    </xf>
    <xf numFmtId="1" fontId="0" fillId="0" borderId="0" xfId="0" applyNumberFormat="1" applyAlignment="1">
      <alignment horizontal="center"/>
    </xf>
    <xf numFmtId="273" fontId="0" fillId="0" borderId="0" xfId="0" applyNumberFormat="1" applyAlignment="1">
      <alignment horizontal="center"/>
    </xf>
    <xf numFmtId="272" fontId="0" fillId="0" borderId="0" xfId="0" applyNumberFormat="1"/>
    <xf numFmtId="273" fontId="27" fillId="0" borderId="0" xfId="0" applyNumberFormat="1" applyFont="1" applyAlignment="1">
      <alignment horizontal="center"/>
    </xf>
    <xf numFmtId="273" fontId="0" fillId="0" borderId="97" xfId="0" applyNumberFormat="1" applyBorder="1" applyAlignment="1">
      <alignment horizontal="center"/>
    </xf>
    <xf numFmtId="0" fontId="0" fillId="0" borderId="0" xfId="0" applyAlignment="1">
      <alignment horizontal="center" vertical="center"/>
    </xf>
    <xf numFmtId="184" fontId="61" fillId="28" borderId="33" xfId="0" applyNumberFormat="1" applyFont="1" applyFill="1" applyBorder="1" applyAlignment="1">
      <alignment horizontal="center" vertical="center"/>
    </xf>
    <xf numFmtId="2" fontId="0" fillId="0" borderId="0" xfId="0" applyNumberFormat="1"/>
    <xf numFmtId="0" fontId="0" fillId="0" borderId="20" xfId="0" applyBorder="1"/>
    <xf numFmtId="0" fontId="0" fillId="0" borderId="66" xfId="0" applyBorder="1"/>
    <xf numFmtId="0" fontId="0" fillId="0" borderId="24" xfId="0" applyBorder="1"/>
    <xf numFmtId="0" fontId="0" fillId="0" borderId="25" xfId="0" applyBorder="1"/>
    <xf numFmtId="16" fontId="0" fillId="0" borderId="0" xfId="0" applyNumberFormat="1"/>
    <xf numFmtId="0" fontId="0" fillId="0" borderId="0" xfId="0" applyAlignment="1">
      <alignment vertical="center"/>
    </xf>
    <xf numFmtId="4" fontId="0" fillId="0" borderId="0" xfId="0" applyNumberFormat="1" applyAlignment="1">
      <alignment horizontal="center"/>
    </xf>
    <xf numFmtId="4" fontId="25" fillId="0" borderId="0" xfId="0" applyNumberFormat="1" applyFont="1" applyAlignment="1">
      <alignment horizontal="center" vertical="center"/>
    </xf>
    <xf numFmtId="4" fontId="0" fillId="0" borderId="0" xfId="0" applyNumberFormat="1"/>
    <xf numFmtId="4" fontId="0" fillId="2" borderId="0" xfId="0" applyNumberFormat="1" applyFill="1"/>
    <xf numFmtId="0" fontId="102" fillId="10" borderId="45" xfId="0" applyFont="1" applyFill="1" applyBorder="1" applyAlignment="1"/>
    <xf numFmtId="0" fontId="102" fillId="10" borderId="46" xfId="0" applyFont="1" applyFill="1" applyBorder="1" applyAlignment="1"/>
    <xf numFmtId="0" fontId="26" fillId="0" borderId="4" xfId="0" applyFont="1" applyBorder="1" applyAlignment="1">
      <alignment horizontal="centerContinuous"/>
    </xf>
    <xf numFmtId="0" fontId="26" fillId="0" borderId="6" xfId="0" applyFont="1" applyBorder="1" applyAlignment="1">
      <alignment horizontal="centerContinuous"/>
    </xf>
    <xf numFmtId="0" fontId="26" fillId="0" borderId="5" xfId="0" applyFont="1" applyBorder="1" applyAlignment="1">
      <alignment horizontal="centerContinuous"/>
    </xf>
    <xf numFmtId="175" fontId="69" fillId="0" borderId="0" xfId="0" applyNumberFormat="1" applyFont="1" applyAlignment="1">
      <alignment horizontal="centerContinuous"/>
    </xf>
    <xf numFmtId="0" fontId="0" fillId="0" borderId="0" xfId="0" applyAlignment="1">
      <alignment horizontal="centerContinuous"/>
    </xf>
    <xf numFmtId="172" fontId="69" fillId="0" borderId="0" xfId="0" applyNumberFormat="1" applyFont="1" applyAlignment="1">
      <alignment horizontal="centerContinuous"/>
    </xf>
    <xf numFmtId="175" fontId="0" fillId="0" borderId="0" xfId="0" applyNumberFormat="1" applyAlignment="1">
      <alignment horizontal="centerContinuous"/>
    </xf>
    <xf numFmtId="172" fontId="0" fillId="0" borderId="0" xfId="0" applyNumberFormat="1" applyAlignment="1">
      <alignment horizontal="centerContinuous"/>
    </xf>
    <xf numFmtId="172" fontId="0" fillId="0" borderId="6" xfId="0" applyNumberFormat="1" applyBorder="1" applyAlignment="1">
      <alignment horizontal="center"/>
    </xf>
    <xf numFmtId="172" fontId="0" fillId="0" borderId="22" xfId="0" applyNumberFormat="1" applyBorder="1" applyAlignment="1">
      <alignment horizontal="center"/>
    </xf>
    <xf numFmtId="172" fontId="0" fillId="0" borderId="33" xfId="0" applyNumberFormat="1" applyBorder="1" applyAlignment="1">
      <alignment horizontal="center"/>
    </xf>
    <xf numFmtId="172" fontId="0" fillId="0" borderId="33" xfId="0" applyNumberFormat="1" applyBorder="1"/>
    <xf numFmtId="172" fontId="0" fillId="0" borderId="18" xfId="0" applyNumberFormat="1" applyBorder="1" applyAlignment="1">
      <alignment horizontal="center"/>
    </xf>
    <xf numFmtId="0" fontId="26" fillId="0" borderId="26" xfId="0" applyFont="1" applyBorder="1" applyAlignment="1">
      <alignment horizontal="centerContinuous"/>
    </xf>
    <xf numFmtId="0" fontId="0" fillId="0" borderId="15" xfId="0" applyBorder="1" applyAlignment="1">
      <alignment horizontal="centerContinuous" vertical="center"/>
    </xf>
    <xf numFmtId="276" fontId="0" fillId="0" borderId="34" xfId="0" applyNumberFormat="1" applyBorder="1" applyAlignment="1">
      <alignment horizontal="center"/>
    </xf>
    <xf numFmtId="276" fontId="0" fillId="0" borderId="33" xfId="0" applyNumberFormat="1" applyBorder="1" applyAlignment="1">
      <alignment horizontal="center"/>
    </xf>
    <xf numFmtId="172" fontId="0" fillId="0" borderId="39" xfId="0" applyNumberFormat="1" applyBorder="1" applyAlignment="1">
      <alignment horizontal="center"/>
    </xf>
    <xf numFmtId="172" fontId="0" fillId="0" borderId="4" xfId="0" applyNumberFormat="1" applyBorder="1" applyAlignment="1">
      <alignment horizontal="center"/>
    </xf>
    <xf numFmtId="172" fontId="0" fillId="0" borderId="21" xfId="0" applyNumberFormat="1" applyBorder="1" applyAlignment="1">
      <alignment horizontal="center"/>
    </xf>
    <xf numFmtId="172" fontId="0" fillId="0" borderId="12" xfId="0" applyNumberFormat="1" applyBorder="1" applyAlignment="1">
      <alignment horizontal="center"/>
    </xf>
    <xf numFmtId="172" fontId="29" fillId="0" borderId="14" xfId="0" applyNumberFormat="1" applyFont="1" applyFill="1" applyBorder="1" applyAlignment="1">
      <alignment horizontal="center"/>
    </xf>
    <xf numFmtId="276" fontId="0" fillId="0" borderId="15" xfId="0" applyNumberFormat="1" applyBorder="1" applyAlignment="1">
      <alignment horizontal="center"/>
    </xf>
    <xf numFmtId="172" fontId="0" fillId="0" borderId="15" xfId="0" applyNumberFormat="1" applyBorder="1"/>
    <xf numFmtId="276" fontId="0" fillId="0" borderId="18" xfId="0" applyNumberFormat="1" applyBorder="1" applyAlignment="1">
      <alignment horizontal="center"/>
    </xf>
    <xf numFmtId="172" fontId="33" fillId="0" borderId="0" xfId="0" applyNumberFormat="1" applyFont="1" applyBorder="1" applyAlignment="1">
      <alignment horizontal="center"/>
    </xf>
    <xf numFmtId="276" fontId="33" fillId="0" borderId="0" xfId="0" applyNumberFormat="1" applyFont="1" applyBorder="1" applyAlignment="1">
      <alignment horizontal="center"/>
    </xf>
    <xf numFmtId="172" fontId="33" fillId="0" borderId="0" xfId="0" applyNumberFormat="1" applyFont="1" applyBorder="1" applyAlignment="1">
      <alignment horizontal="centerContinuous"/>
    </xf>
    <xf numFmtId="0" fontId="26" fillId="0" borderId="54" xfId="0" applyFont="1" applyBorder="1" applyAlignment="1">
      <alignment horizontal="centerContinuous"/>
    </xf>
    <xf numFmtId="172" fontId="0" fillId="0" borderId="15" xfId="0" applyNumberFormat="1" applyBorder="1" applyAlignment="1">
      <alignment horizontal="center"/>
    </xf>
    <xf numFmtId="172" fontId="0" fillId="0" borderId="27" xfId="0" applyNumberFormat="1" applyBorder="1"/>
    <xf numFmtId="0" fontId="0" fillId="0" borderId="14" xfId="0" applyBorder="1" applyAlignment="1">
      <alignment horizontal="centerContinuous" vertical="center"/>
    </xf>
    <xf numFmtId="0" fontId="0" fillId="0" borderId="16" xfId="0" applyBorder="1" applyAlignment="1">
      <alignment horizontal="centerContinuous" vertical="center"/>
    </xf>
    <xf numFmtId="276" fontId="0" fillId="0" borderId="52" xfId="0" applyNumberFormat="1" applyBorder="1" applyAlignment="1">
      <alignment horizontal="center"/>
    </xf>
    <xf numFmtId="276" fontId="0" fillId="0" borderId="13" xfId="0" applyNumberFormat="1" applyBorder="1" applyAlignment="1">
      <alignment horizontal="center"/>
    </xf>
    <xf numFmtId="276" fontId="0" fillId="0" borderId="16" xfId="0" applyNumberFormat="1" applyBorder="1" applyAlignment="1">
      <alignment horizontal="center"/>
    </xf>
    <xf numFmtId="172" fontId="0" fillId="0" borderId="26" xfId="0" applyNumberFormat="1" applyBorder="1" applyAlignment="1">
      <alignment horizontal="center" vertical="center"/>
    </xf>
    <xf numFmtId="172" fontId="0" fillId="0" borderId="29" xfId="0" applyNumberFormat="1" applyBorder="1" applyAlignment="1">
      <alignment horizontal="center" vertical="center"/>
    </xf>
    <xf numFmtId="172" fontId="0" fillId="0" borderId="30" xfId="0" applyNumberFormat="1" applyBorder="1" applyAlignment="1">
      <alignment horizontal="center" vertical="center"/>
    </xf>
    <xf numFmtId="172" fontId="0" fillId="0" borderId="12" xfId="0" applyNumberFormat="1" applyBorder="1"/>
    <xf numFmtId="172" fontId="0" fillId="0" borderId="14" xfId="0" applyNumberFormat="1" applyBorder="1"/>
    <xf numFmtId="0" fontId="0" fillId="0" borderId="0" xfId="0" applyAlignment="1">
      <alignment horizontal="center" vertical="center"/>
    </xf>
    <xf numFmtId="0" fontId="103" fillId="50" borderId="0" xfId="0" applyFont="1" applyFill="1" applyAlignment="1">
      <alignment horizontal="center" vertical="center"/>
    </xf>
    <xf numFmtId="0" fontId="26" fillId="10" borderId="3" xfId="0" applyFont="1" applyFill="1" applyBorder="1" applyAlignment="1">
      <alignment horizontal="right" vertical="center"/>
    </xf>
    <xf numFmtId="0" fontId="33" fillId="10" borderId="3" xfId="0" applyFont="1" applyFill="1" applyBorder="1" applyAlignment="1">
      <alignment horizontal="right" vertical="center"/>
    </xf>
    <xf numFmtId="0" fontId="26" fillId="11" borderId="59" xfId="0" applyFont="1" applyFill="1" applyBorder="1" applyAlignment="1">
      <alignment horizontal="right" vertical="center"/>
    </xf>
    <xf numFmtId="0" fontId="33" fillId="10" borderId="97" xfId="0" applyFont="1" applyFill="1" applyBorder="1" applyAlignment="1">
      <alignment horizontal="right" vertical="center"/>
    </xf>
    <xf numFmtId="0" fontId="26" fillId="24" borderId="142" xfId="0" applyFont="1" applyFill="1" applyBorder="1" applyAlignment="1">
      <alignment horizontal="right" vertical="center"/>
    </xf>
    <xf numFmtId="0" fontId="26" fillId="0" borderId="3" xfId="0" applyFont="1" applyFill="1" applyBorder="1" applyAlignment="1">
      <alignment horizontal="right" vertical="center"/>
    </xf>
    <xf numFmtId="0" fontId="33" fillId="8" borderId="3" xfId="0" applyFont="1" applyFill="1" applyBorder="1" applyAlignment="1">
      <alignment horizontal="right" vertical="center"/>
    </xf>
    <xf numFmtId="0" fontId="33" fillId="41" borderId="59" xfId="0" applyFont="1" applyFill="1" applyBorder="1" applyAlignment="1">
      <alignment horizontal="right" vertical="center"/>
    </xf>
    <xf numFmtId="0" fontId="33" fillId="41" borderId="59" xfId="0" applyFont="1" applyFill="1" applyBorder="1" applyAlignment="1">
      <alignment horizontal="right" vertical="center" wrapText="1"/>
    </xf>
    <xf numFmtId="0" fontId="103" fillId="9" borderId="0" xfId="0" applyFont="1" applyFill="1" applyAlignment="1">
      <alignment horizontal="center" vertical="center"/>
    </xf>
    <xf numFmtId="0" fontId="33" fillId="46" borderId="0" xfId="0" applyFont="1" applyFill="1" applyAlignment="1">
      <alignment horizontal="center" vertical="center" wrapText="1"/>
    </xf>
    <xf numFmtId="0" fontId="104" fillId="41" borderId="59" xfId="0" applyFont="1" applyFill="1" applyBorder="1" applyAlignment="1">
      <alignment horizontal="right" vertical="center" wrapText="1"/>
    </xf>
    <xf numFmtId="0" fontId="103" fillId="6" borderId="0" xfId="0" applyFont="1" applyFill="1" applyAlignment="1">
      <alignment horizontal="center" vertical="center"/>
    </xf>
    <xf numFmtId="9" fontId="0" fillId="0" borderId="0" xfId="0" applyNumberFormat="1" applyAlignment="1">
      <alignment vertical="center"/>
    </xf>
    <xf numFmtId="0" fontId="26" fillId="0" borderId="0" xfId="0" applyFont="1" applyFill="1" applyBorder="1" applyAlignment="1">
      <alignment horizontal="right" vertical="center"/>
    </xf>
    <xf numFmtId="0" fontId="0" fillId="0" borderId="0" xfId="0" applyAlignment="1">
      <alignment horizontal="center" vertical="center"/>
    </xf>
    <xf numFmtId="177" fontId="0" fillId="0" borderId="0" xfId="0" applyNumberFormat="1" applyAlignment="1">
      <alignment horizontal="right"/>
    </xf>
    <xf numFmtId="17" fontId="33" fillId="46" borderId="0" xfId="0" applyNumberFormat="1" applyFont="1" applyFill="1" applyAlignment="1">
      <alignment horizontal="center" vertical="center" wrapText="1"/>
    </xf>
    <xf numFmtId="177" fontId="26" fillId="2" borderId="3" xfId="0" applyNumberFormat="1" applyFont="1" applyFill="1" applyBorder="1" applyAlignment="1">
      <alignment horizontal="center" vertical="center"/>
    </xf>
    <xf numFmtId="3" fontId="33" fillId="2" borderId="3" xfId="0" applyNumberFormat="1" applyFont="1" applyFill="1" applyBorder="1" applyAlignment="1">
      <alignment horizontal="center" vertical="center"/>
    </xf>
    <xf numFmtId="265" fontId="33" fillId="2" borderId="3" xfId="0" applyNumberFormat="1" applyFont="1" applyFill="1" applyBorder="1" applyAlignment="1">
      <alignment horizontal="center" vertical="center"/>
    </xf>
    <xf numFmtId="265" fontId="26" fillId="2" borderId="3" xfId="0" applyNumberFormat="1" applyFont="1" applyFill="1" applyBorder="1" applyAlignment="1">
      <alignment horizontal="center" vertical="center"/>
    </xf>
    <xf numFmtId="265" fontId="33" fillId="2" borderId="97" xfId="0" applyNumberFormat="1" applyFont="1" applyFill="1" applyBorder="1" applyAlignment="1">
      <alignment horizontal="center" vertical="center"/>
    </xf>
    <xf numFmtId="0" fontId="26" fillId="0" borderId="3" xfId="0" applyFont="1" applyFill="1" applyBorder="1" applyAlignment="1">
      <alignment horizontal="right"/>
    </xf>
    <xf numFmtId="0" fontId="33" fillId="0" borderId="0" xfId="0" applyFont="1" applyFill="1" applyAlignment="1">
      <alignment horizontal="center" vertical="center"/>
    </xf>
    <xf numFmtId="0" fontId="33" fillId="0" borderId="97" xfId="0" applyFont="1" applyFill="1" applyBorder="1" applyAlignment="1">
      <alignment horizontal="right"/>
    </xf>
    <xf numFmtId="265" fontId="26" fillId="11" borderId="142" xfId="0" applyNumberFormat="1" applyFont="1" applyFill="1" applyBorder="1" applyAlignment="1">
      <alignment horizontal="center" vertical="center"/>
    </xf>
    <xf numFmtId="265" fontId="26" fillId="51" borderId="59" xfId="0" applyNumberFormat="1" applyFont="1" applyFill="1" applyBorder="1" applyAlignment="1">
      <alignment horizontal="center" vertical="center"/>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0" fontId="26" fillId="0" borderId="0" xfId="0" applyFont="1" applyFill="1" applyBorder="1" applyAlignment="1">
      <alignment vertical="center"/>
    </xf>
    <xf numFmtId="0" fontId="0" fillId="0" borderId="0" xfId="0" applyFont="1" applyFill="1" applyBorder="1"/>
    <xf numFmtId="14" fontId="0" fillId="0" borderId="0" xfId="0" applyNumberFormat="1" applyFont="1" applyFill="1" applyBorder="1"/>
    <xf numFmtId="4" fontId="0" fillId="0" borderId="0" xfId="0" applyNumberFormat="1" applyFont="1" applyFill="1" applyBorder="1" applyAlignment="1">
      <alignment horizontal="center"/>
    </xf>
    <xf numFmtId="4" fontId="26" fillId="0" borderId="0" xfId="0" applyNumberFormat="1" applyFont="1" applyFill="1" applyBorder="1" applyAlignment="1">
      <alignment horizontal="center"/>
    </xf>
    <xf numFmtId="178" fontId="0" fillId="0" borderId="0" xfId="0" applyNumberFormat="1" applyFont="1" applyFill="1" applyBorder="1" applyAlignment="1">
      <alignment horizontal="center" vertical="center"/>
    </xf>
    <xf numFmtId="178" fontId="0" fillId="0" borderId="0" xfId="0" applyNumberFormat="1" applyFont="1" applyFill="1" applyBorder="1"/>
    <xf numFmtId="4" fontId="0" fillId="13" borderId="0" xfId="0" applyNumberFormat="1" applyFont="1" applyFill="1" applyBorder="1" applyAlignment="1">
      <alignment horizontal="center" vertical="center"/>
    </xf>
    <xf numFmtId="4" fontId="25" fillId="9" borderId="0" xfId="0" applyNumberFormat="1" applyFont="1" applyFill="1" applyBorder="1" applyAlignment="1">
      <alignment horizontal="center"/>
    </xf>
    <xf numFmtId="4" fontId="27" fillId="0" borderId="0" xfId="0" applyNumberFormat="1" applyFont="1" applyFill="1" applyBorder="1" applyAlignment="1">
      <alignment horizontal="center"/>
    </xf>
    <xf numFmtId="4" fontId="25" fillId="9" borderId="0" xfId="0" applyNumberFormat="1" applyFont="1" applyFill="1" applyBorder="1" applyAlignment="1">
      <alignment horizontal="center" vertical="center"/>
    </xf>
    <xf numFmtId="4" fontId="25" fillId="0" borderId="0" xfId="0" applyNumberFormat="1" applyFont="1" applyFill="1" applyBorder="1" applyAlignment="1">
      <alignment horizontal="center"/>
    </xf>
    <xf numFmtId="4" fontId="25" fillId="0" borderId="0" xfId="0" applyNumberFormat="1" applyFont="1" applyFill="1" applyBorder="1" applyAlignment="1">
      <alignment horizontal="center" vertical="center"/>
    </xf>
    <xf numFmtId="14" fontId="0" fillId="0" borderId="0" xfId="0" applyNumberFormat="1" applyBorder="1"/>
    <xf numFmtId="0" fontId="0" fillId="0" borderId="0" xfId="0" applyBorder="1" applyAlignment="1">
      <alignment horizontal="center" vertical="center"/>
    </xf>
    <xf numFmtId="0" fontId="0" fillId="0" borderId="0" xfId="0" applyBorder="1" applyAlignment="1">
      <alignment horizontal="center"/>
    </xf>
    <xf numFmtId="0" fontId="68" fillId="4" borderId="0" xfId="0" applyFont="1" applyFill="1"/>
    <xf numFmtId="178" fontId="68" fillId="4" borderId="0" xfId="0" applyNumberFormat="1" applyFont="1" applyFill="1"/>
    <xf numFmtId="0" fontId="69" fillId="4" borderId="0" xfId="0" applyFont="1" applyFill="1" applyAlignment="1">
      <alignment horizontal="center" vertical="center" wrapText="1"/>
    </xf>
    <xf numFmtId="0" fontId="105" fillId="4" borderId="33" xfId="210" applyFont="1" applyFill="1" applyBorder="1" applyAlignment="1">
      <alignment horizontal="left" vertical="center" wrapText="1"/>
    </xf>
    <xf numFmtId="226" fontId="106" fillId="4" borderId="33" xfId="210" applyNumberFormat="1" applyFont="1" applyFill="1" applyBorder="1" applyAlignment="1">
      <alignment horizontal="center" vertical="center" wrapText="1"/>
    </xf>
    <xf numFmtId="227" fontId="106" fillId="4" borderId="33" xfId="210" applyNumberFormat="1" applyFont="1" applyFill="1" applyBorder="1" applyAlignment="1">
      <alignment horizontal="center" vertical="center" wrapText="1"/>
    </xf>
    <xf numFmtId="177" fontId="68" fillId="4" borderId="33" xfId="0" applyNumberFormat="1" applyFont="1" applyFill="1" applyBorder="1" applyAlignment="1">
      <alignment horizontal="center" vertical="center"/>
    </xf>
    <xf numFmtId="184" fontId="68" fillId="4" borderId="33" xfId="0" applyNumberFormat="1" applyFont="1" applyFill="1" applyBorder="1" applyAlignment="1">
      <alignment horizontal="center"/>
    </xf>
    <xf numFmtId="0" fontId="68" fillId="4" borderId="33" xfId="0" applyFont="1" applyFill="1" applyBorder="1" applyAlignment="1">
      <alignment horizontal="center"/>
    </xf>
    <xf numFmtId="3" fontId="68" fillId="4" borderId="33" xfId="0" applyNumberFormat="1" applyFont="1" applyFill="1" applyBorder="1" applyAlignment="1">
      <alignment horizontal="center"/>
    </xf>
    <xf numFmtId="178" fontId="68" fillId="4" borderId="33" xfId="0" applyNumberFormat="1" applyFont="1" applyFill="1" applyBorder="1" applyAlignment="1">
      <alignment horizontal="center" vertical="center"/>
    </xf>
    <xf numFmtId="0" fontId="105" fillId="32" borderId="33" xfId="210" applyFont="1" applyFill="1" applyBorder="1" applyAlignment="1">
      <alignment horizontal="left" vertical="center" wrapText="1"/>
    </xf>
    <xf numFmtId="178" fontId="107" fillId="28" borderId="33" xfId="0" applyNumberFormat="1" applyFont="1" applyFill="1" applyBorder="1" applyAlignment="1">
      <alignment horizontal="center" vertical="center"/>
    </xf>
    <xf numFmtId="184" fontId="108" fillId="2" borderId="0" xfId="0" applyNumberFormat="1" applyFont="1" applyFill="1" applyAlignment="1">
      <alignment horizontal="center"/>
    </xf>
    <xf numFmtId="188" fontId="68" fillId="4" borderId="0" xfId="207" applyNumberFormat="1" applyFont="1" applyFill="1" applyAlignment="1">
      <alignment horizontal="center" vertical="center"/>
    </xf>
    <xf numFmtId="188" fontId="68" fillId="4" borderId="0" xfId="207" applyNumberFormat="1" applyFont="1" applyFill="1" applyAlignment="1">
      <alignment horizontal="center"/>
    </xf>
    <xf numFmtId="0" fontId="68" fillId="4" borderId="0" xfId="0" applyFont="1" applyFill="1" applyAlignment="1">
      <alignment horizontal="center" vertical="center"/>
    </xf>
    <xf numFmtId="228" fontId="106" fillId="4" borderId="33" xfId="210" applyNumberFormat="1" applyFont="1" applyFill="1" applyBorder="1" applyAlignment="1">
      <alignment horizontal="center" vertical="center" wrapText="1"/>
    </xf>
    <xf numFmtId="212" fontId="68" fillId="4" borderId="33" xfId="0" applyNumberFormat="1" applyFont="1" applyFill="1" applyBorder="1" applyAlignment="1">
      <alignment horizontal="center" vertical="center"/>
    </xf>
    <xf numFmtId="274" fontId="106" fillId="4" borderId="33" xfId="210" applyNumberFormat="1" applyFont="1" applyFill="1" applyBorder="1" applyAlignment="1">
      <alignment horizontal="center" vertical="center" wrapText="1"/>
    </xf>
    <xf numFmtId="275" fontId="106" fillId="4" borderId="33" xfId="210" applyNumberFormat="1" applyFont="1" applyFill="1" applyBorder="1" applyAlignment="1">
      <alignment horizontal="center" vertical="center" wrapText="1"/>
    </xf>
    <xf numFmtId="229" fontId="106" fillId="4" borderId="33" xfId="210" applyNumberFormat="1" applyFont="1" applyFill="1" applyBorder="1" applyAlignment="1">
      <alignment horizontal="center" vertical="center" wrapText="1"/>
    </xf>
    <xf numFmtId="230" fontId="68" fillId="4" borderId="33" xfId="0" applyNumberFormat="1" applyFont="1" applyFill="1" applyBorder="1" applyAlignment="1">
      <alignment horizontal="center" vertical="center"/>
    </xf>
    <xf numFmtId="231" fontId="106" fillId="4" borderId="33" xfId="210" applyNumberFormat="1" applyFont="1" applyFill="1" applyBorder="1" applyAlignment="1">
      <alignment horizontal="center" vertical="center" wrapText="1"/>
    </xf>
    <xf numFmtId="0" fontId="68" fillId="4" borderId="0" xfId="0" applyFont="1" applyFill="1" applyAlignment="1">
      <alignment vertical="center"/>
    </xf>
    <xf numFmtId="184" fontId="68" fillId="4" borderId="33" xfId="0" applyNumberFormat="1" applyFont="1" applyFill="1" applyBorder="1" applyAlignment="1">
      <alignment horizontal="center" vertical="center"/>
    </xf>
    <xf numFmtId="184" fontId="108" fillId="2" borderId="0" xfId="0" applyNumberFormat="1" applyFont="1" applyFill="1" applyAlignment="1">
      <alignment horizontal="center" vertical="center"/>
    </xf>
    <xf numFmtId="175" fontId="68" fillId="4" borderId="33" xfId="0" applyNumberFormat="1" applyFont="1" applyFill="1" applyBorder="1" applyAlignment="1">
      <alignment horizontal="center" vertical="center"/>
    </xf>
    <xf numFmtId="0" fontId="0" fillId="0" borderId="0" xfId="0" applyBorder="1"/>
    <xf numFmtId="175" fontId="0" fillId="0" borderId="0" xfId="0" applyNumberFormat="1" applyBorder="1" applyAlignment="1">
      <alignment horizontal="center"/>
    </xf>
    <xf numFmtId="278" fontId="33" fillId="0" borderId="0" xfId="0" applyNumberFormat="1" applyFont="1" applyAlignment="1">
      <alignment vertical="center"/>
    </xf>
    <xf numFmtId="49" fontId="29" fillId="0" borderId="0" xfId="0" applyNumberFormat="1" applyFont="1" applyAlignment="1">
      <alignment horizontal="center" vertical="center"/>
    </xf>
    <xf numFmtId="198" fontId="33" fillId="0" borderId="0" xfId="0" applyNumberFormat="1" applyFont="1" applyAlignment="1">
      <alignment vertical="center"/>
    </xf>
    <xf numFmtId="0" fontId="29" fillId="0" borderId="0" xfId="0" applyFont="1" applyAlignment="1">
      <alignment vertical="center"/>
    </xf>
    <xf numFmtId="0" fontId="0" fillId="4" borderId="0" xfId="0" applyFill="1" applyAlignment="1">
      <alignment vertical="center"/>
    </xf>
    <xf numFmtId="0" fontId="26" fillId="4" borderId="0" xfId="0" applyFont="1" applyFill="1" applyAlignment="1">
      <alignment horizontal="center" vertical="center" wrapText="1"/>
    </xf>
    <xf numFmtId="0" fontId="26" fillId="4" borderId="0" xfId="0" applyFont="1" applyFill="1" applyAlignment="1">
      <alignment vertical="center"/>
    </xf>
    <xf numFmtId="0" fontId="26" fillId="4" borderId="0" xfId="0" applyFont="1" applyFill="1" applyBorder="1" applyAlignment="1">
      <alignment horizontal="right"/>
    </xf>
    <xf numFmtId="212" fontId="1" fillId="4" borderId="0" xfId="0" applyNumberFormat="1" applyFont="1" applyFill="1" applyAlignment="1">
      <alignment horizontal="center" vertical="center"/>
    </xf>
    <xf numFmtId="2" fontId="60" fillId="4" borderId="0" xfId="0" applyNumberFormat="1" applyFont="1" applyFill="1" applyAlignment="1">
      <alignment horizontal="center"/>
    </xf>
    <xf numFmtId="0" fontId="0" fillId="4" borderId="0" xfId="0" applyFill="1" applyAlignment="1">
      <alignment wrapText="1"/>
    </xf>
    <xf numFmtId="0" fontId="0" fillId="4" borderId="0" xfId="0" applyFill="1" applyAlignment="1">
      <alignment horizontal="center"/>
    </xf>
    <xf numFmtId="0" fontId="60" fillId="4" borderId="0" xfId="0" applyFont="1" applyFill="1" applyAlignment="1">
      <alignment horizontal="center"/>
    </xf>
    <xf numFmtId="0" fontId="26" fillId="4" borderId="0" xfId="0" applyFont="1" applyFill="1" applyBorder="1" applyAlignment="1">
      <alignment horizontal="right" vertical="center"/>
    </xf>
    <xf numFmtId="171" fontId="1" fillId="4" borderId="0" xfId="0" applyNumberFormat="1" applyFont="1" applyFill="1" applyAlignment="1">
      <alignment horizontal="center" vertical="center"/>
    </xf>
    <xf numFmtId="2" fontId="60" fillId="4" borderId="0" xfId="0" applyNumberFormat="1" applyFont="1" applyFill="1" applyAlignment="1">
      <alignment horizontal="center" vertical="center"/>
    </xf>
    <xf numFmtId="0" fontId="0" fillId="4" borderId="0" xfId="0" applyFill="1" applyAlignment="1">
      <alignment vertical="center" wrapText="1"/>
    </xf>
    <xf numFmtId="259" fontId="0" fillId="0" borderId="0" xfId="0" applyNumberFormat="1" applyAlignment="1">
      <alignment horizontal="right"/>
    </xf>
    <xf numFmtId="259" fontId="0" fillId="0" borderId="0" xfId="0" applyNumberFormat="1" applyAlignment="1">
      <alignment horizontal="right" vertical="center"/>
    </xf>
    <xf numFmtId="184" fontId="35" fillId="0" borderId="30" xfId="210" applyNumberFormat="1" applyFont="1" applyBorder="1" applyAlignment="1">
      <alignment vertical="center"/>
    </xf>
    <xf numFmtId="259" fontId="39" fillId="0" borderId="6" xfId="210" applyNumberFormat="1" applyFont="1" applyBorder="1" applyAlignment="1">
      <alignment horizontal="center" vertical="center"/>
    </xf>
    <xf numFmtId="0" fontId="35" fillId="0" borderId="0" xfId="210" applyFont="1" applyBorder="1" applyAlignment="1">
      <alignment horizontal="left" vertical="center"/>
    </xf>
    <xf numFmtId="177" fontId="35" fillId="0" borderId="33" xfId="210" applyNumberFormat="1" applyFont="1" applyBorder="1" applyAlignment="1">
      <alignment horizontal="center" vertical="center"/>
    </xf>
    <xf numFmtId="259" fontId="35" fillId="0" borderId="33" xfId="210" applyNumberFormat="1" applyFont="1" applyBorder="1" applyAlignment="1">
      <alignment horizontal="center" vertical="center"/>
    </xf>
    <xf numFmtId="259" fontId="37" fillId="0" borderId="33" xfId="210" applyNumberFormat="1" applyFont="1" applyBorder="1" applyAlignment="1">
      <alignment horizontal="center" vertical="center"/>
    </xf>
    <xf numFmtId="0" fontId="0" fillId="0" borderId="0" xfId="0" applyAlignment="1">
      <alignment horizontal="center" vertical="center"/>
    </xf>
    <xf numFmtId="15" fontId="0" fillId="0" borderId="0" xfId="0" applyNumberFormat="1"/>
    <xf numFmtId="0" fontId="77" fillId="0" borderId="0" xfId="0" applyFont="1" applyAlignment="1">
      <alignment horizontal="center" vertical="center" wrapText="1"/>
    </xf>
    <xf numFmtId="0" fontId="109" fillId="0" borderId="0" xfId="0" applyFont="1" applyAlignment="1">
      <alignment horizontal="center" vertical="center" wrapText="1"/>
    </xf>
    <xf numFmtId="0" fontId="109" fillId="0" borderId="33" xfId="0" applyFont="1" applyBorder="1" applyAlignment="1">
      <alignment horizontal="center" vertical="center" wrapText="1"/>
    </xf>
    <xf numFmtId="0" fontId="109" fillId="0" borderId="0" xfId="0" applyFont="1" applyAlignment="1">
      <alignment horizontal="right" vertical="center" wrapText="1"/>
    </xf>
    <xf numFmtId="255" fontId="0" fillId="0" borderId="0" xfId="0" applyNumberFormat="1" applyAlignment="1">
      <alignment horizontal="center"/>
    </xf>
    <xf numFmtId="255" fontId="0" fillId="0" borderId="0" xfId="212" applyNumberFormat="1" applyFont="1" applyBorder="1" applyAlignment="1">
      <alignment horizontal="center" vertical="center"/>
    </xf>
    <xf numFmtId="255" fontId="0" fillId="0" borderId="33" xfId="0" applyNumberFormat="1" applyBorder="1" applyAlignment="1">
      <alignment horizontal="center" vertical="center"/>
    </xf>
    <xf numFmtId="255" fontId="0" fillId="0" borderId="148" xfId="0" applyNumberFormat="1" applyBorder="1" applyAlignment="1">
      <alignment horizontal="center" vertical="center"/>
    </xf>
    <xf numFmtId="10" fontId="0" fillId="0" borderId="0" xfId="0" applyNumberFormat="1" applyAlignment="1">
      <alignment horizontal="center"/>
    </xf>
    <xf numFmtId="0" fontId="0" fillId="0" borderId="0" xfId="0" applyAlignment="1">
      <alignment horizontal="center" vertical="center"/>
    </xf>
    <xf numFmtId="0" fontId="26" fillId="0" borderId="0" xfId="0" applyFont="1" applyAlignment="1">
      <alignment vertical="center"/>
    </xf>
    <xf numFmtId="0" fontId="26" fillId="0" borderId="0" xfId="0" applyFont="1" applyAlignment="1">
      <alignment horizontal="center" vertical="center" wrapText="1"/>
    </xf>
    <xf numFmtId="14" fontId="0" fillId="0" borderId="0" xfId="0" applyNumberFormat="1"/>
    <xf numFmtId="4" fontId="0" fillId="13" borderId="0" xfId="0" applyNumberFormat="1" applyFill="1" applyAlignment="1">
      <alignment horizontal="center" vertical="center"/>
    </xf>
    <xf numFmtId="4" fontId="25" fillId="0" borderId="0" xfId="0" applyNumberFormat="1" applyFont="1" applyAlignment="1">
      <alignment horizontal="center"/>
    </xf>
    <xf numFmtId="4" fontId="27" fillId="0" borderId="0" xfId="0" applyNumberFormat="1" applyFont="1" applyAlignment="1">
      <alignment horizontal="center"/>
    </xf>
    <xf numFmtId="4" fontId="0" fillId="0" borderId="0" xfId="0" applyNumberFormat="1" applyFill="1" applyAlignment="1">
      <alignment horizontal="center"/>
    </xf>
    <xf numFmtId="4" fontId="0" fillId="0" borderId="20" xfId="0" applyNumberFormat="1" applyBorder="1" applyAlignment="1">
      <alignment horizontal="center"/>
    </xf>
    <xf numFmtId="4" fontId="0" fillId="0" borderId="25" xfId="0" applyNumberFormat="1" applyBorder="1" applyAlignment="1">
      <alignment horizontal="center"/>
    </xf>
    <xf numFmtId="4" fontId="0" fillId="0" borderId="80" xfId="0" applyNumberFormat="1" applyBorder="1" applyAlignment="1">
      <alignment horizontal="center" vertical="center"/>
    </xf>
    <xf numFmtId="4" fontId="0" fillId="0" borderId="81" xfId="0" applyNumberFormat="1" applyBorder="1" applyAlignment="1">
      <alignment horizontal="center" vertical="center"/>
    </xf>
    <xf numFmtId="0" fontId="26" fillId="0" borderId="4" xfId="0" applyFont="1" applyBorder="1" applyAlignment="1">
      <alignment horizontal="center" vertical="center"/>
    </xf>
    <xf numFmtId="0" fontId="26" fillId="0" borderId="22" xfId="0" applyFont="1" applyBorder="1" applyAlignment="1">
      <alignment vertical="center"/>
    </xf>
    <xf numFmtId="0" fontId="26" fillId="0" borderId="6" xfId="0" applyFont="1" applyBorder="1" applyAlignment="1">
      <alignment horizontal="center" vertical="center" wrapText="1"/>
    </xf>
    <xf numFmtId="0" fontId="26" fillId="0" borderId="5" xfId="0" applyFont="1" applyBorder="1" applyAlignment="1">
      <alignment horizontal="center" vertical="center" wrapText="1"/>
    </xf>
    <xf numFmtId="0" fontId="0" fillId="0" borderId="12" xfId="0" applyBorder="1"/>
    <xf numFmtId="14" fontId="0" fillId="0" borderId="33" xfId="0" applyNumberFormat="1" applyBorder="1"/>
    <xf numFmtId="4" fontId="0" fillId="0" borderId="33" xfId="0" applyNumberFormat="1" applyBorder="1"/>
    <xf numFmtId="2" fontId="0" fillId="0" borderId="13" xfId="0" applyNumberFormat="1" applyBorder="1"/>
    <xf numFmtId="0" fontId="0" fillId="0" borderId="14" xfId="0" applyBorder="1"/>
    <xf numFmtId="14" fontId="0" fillId="0" borderId="15" xfId="0" applyNumberFormat="1" applyBorder="1"/>
    <xf numFmtId="4" fontId="0" fillId="0" borderId="15" xfId="0" applyNumberFormat="1" applyBorder="1"/>
    <xf numFmtId="2" fontId="0" fillId="0" borderId="15" xfId="0" applyNumberFormat="1" applyBorder="1"/>
    <xf numFmtId="2" fontId="0" fillId="0" borderId="16" xfId="0" applyNumberFormat="1" applyBorder="1"/>
    <xf numFmtId="268" fontId="0" fillId="0" borderId="0" xfId="0" applyNumberFormat="1"/>
    <xf numFmtId="279" fontId="0" fillId="0" borderId="0" xfId="0" applyNumberFormat="1"/>
    <xf numFmtId="0" fontId="0" fillId="0" borderId="9" xfId="0" applyBorder="1" applyAlignment="1">
      <alignment vertical="center"/>
    </xf>
    <xf numFmtId="0" fontId="0" fillId="0" borderId="96" xfId="0" applyBorder="1" applyAlignment="1">
      <alignment vertical="center"/>
    </xf>
    <xf numFmtId="0" fontId="0" fillId="0" borderId="56" xfId="0" applyBorder="1" applyAlignment="1">
      <alignment vertical="center"/>
    </xf>
    <xf numFmtId="0" fontId="0" fillId="0" borderId="101" xfId="0" applyBorder="1" applyAlignment="1">
      <alignment vertical="center"/>
    </xf>
    <xf numFmtId="175" fontId="26" fillId="0" borderId="64" xfId="0" applyNumberFormat="1" applyFont="1" applyBorder="1" applyAlignment="1">
      <alignment horizontal="center" vertical="center"/>
    </xf>
    <xf numFmtId="276" fontId="0" fillId="0" borderId="47" xfId="0" applyNumberFormat="1" applyBorder="1" applyAlignment="1">
      <alignment horizontal="center" vertical="center"/>
    </xf>
    <xf numFmtId="175" fontId="26" fillId="0" borderId="47" xfId="0" applyNumberFormat="1" applyFont="1" applyBorder="1" applyAlignment="1">
      <alignment horizontal="center" vertical="center"/>
    </xf>
    <xf numFmtId="276" fontId="0" fillId="0" borderId="158" xfId="0" applyNumberFormat="1" applyBorder="1" applyAlignment="1">
      <alignment horizontal="center" vertical="center"/>
    </xf>
    <xf numFmtId="175" fontId="26" fillId="0" borderId="34" xfId="0" applyNumberFormat="1" applyFont="1" applyBorder="1" applyAlignment="1">
      <alignment horizontal="center" vertical="center"/>
    </xf>
    <xf numFmtId="276" fontId="0" fillId="0" borderId="34" xfId="0" applyNumberFormat="1" applyBorder="1" applyAlignment="1">
      <alignment horizontal="center" vertical="center"/>
    </xf>
    <xf numFmtId="276" fontId="0" fillId="0" borderId="127" xfId="0" applyNumberFormat="1" applyBorder="1" applyAlignment="1">
      <alignment horizontal="center" vertical="center"/>
    </xf>
    <xf numFmtId="0" fontId="26" fillId="0" borderId="0" xfId="0" applyFont="1" applyAlignment="1">
      <alignment horizontal="right" vertical="center"/>
    </xf>
    <xf numFmtId="175" fontId="0" fillId="0" borderId="12" xfId="0" applyNumberFormat="1" applyFill="1" applyBorder="1" applyAlignment="1">
      <alignment horizontal="center" vertical="center"/>
    </xf>
    <xf numFmtId="276" fontId="0" fillId="0" borderId="33" xfId="0" applyNumberFormat="1" applyFill="1" applyBorder="1" applyAlignment="1">
      <alignment horizontal="center" vertical="center"/>
    </xf>
    <xf numFmtId="175" fontId="0" fillId="0" borderId="33" xfId="0" applyNumberFormat="1" applyFill="1" applyBorder="1" applyAlignment="1">
      <alignment horizontal="center" vertical="center"/>
    </xf>
    <xf numFmtId="276" fontId="0" fillId="0" borderId="13" xfId="0" applyNumberFormat="1" applyFill="1" applyBorder="1" applyAlignment="1">
      <alignment horizontal="center" vertical="center"/>
    </xf>
    <xf numFmtId="0" fontId="0" fillId="0" borderId="12" xfId="0" applyFill="1" applyBorder="1"/>
    <xf numFmtId="0" fontId="0" fillId="0" borderId="33" xfId="0" applyFill="1" applyBorder="1"/>
    <xf numFmtId="0" fontId="0" fillId="0" borderId="13" xfId="0" applyFill="1" applyBorder="1"/>
    <xf numFmtId="175" fontId="29" fillId="0" borderId="33" xfId="0" applyNumberFormat="1" applyFont="1" applyFill="1" applyBorder="1" applyAlignment="1">
      <alignment horizontal="center" vertical="center"/>
    </xf>
    <xf numFmtId="175" fontId="0" fillId="0" borderId="14" xfId="0" applyNumberFormat="1" applyFill="1" applyBorder="1" applyAlignment="1">
      <alignment horizontal="center" vertical="center"/>
    </xf>
    <xf numFmtId="276" fontId="0" fillId="0" borderId="15" xfId="0" applyNumberFormat="1" applyFill="1" applyBorder="1" applyAlignment="1">
      <alignment horizontal="center" vertical="center"/>
    </xf>
    <xf numFmtId="0" fontId="0" fillId="0" borderId="15" xfId="0" applyFill="1" applyBorder="1"/>
    <xf numFmtId="0" fontId="0" fillId="0" borderId="16" xfId="0" applyFill="1" applyBorder="1"/>
    <xf numFmtId="0" fontId="0" fillId="0" borderId="14" xfId="0" applyFill="1" applyBorder="1"/>
    <xf numFmtId="175" fontId="0" fillId="0" borderId="30" xfId="0" applyNumberFormat="1" applyFill="1" applyBorder="1" applyAlignment="1">
      <alignment horizontal="center" vertical="center"/>
    </xf>
    <xf numFmtId="0" fontId="0" fillId="0" borderId="30" xfId="0" applyFill="1" applyBorder="1"/>
    <xf numFmtId="0" fontId="0" fillId="0" borderId="27" xfId="0" applyFill="1" applyBorder="1"/>
    <xf numFmtId="175" fontId="0" fillId="0" borderId="21" xfId="0" applyNumberFormat="1" applyFill="1" applyBorder="1" applyAlignment="1">
      <alignment horizontal="center" vertical="center"/>
    </xf>
    <xf numFmtId="276" fontId="0" fillId="0" borderId="22" xfId="0" applyNumberFormat="1" applyFill="1" applyBorder="1" applyAlignment="1">
      <alignment horizontal="center" vertical="center"/>
    </xf>
    <xf numFmtId="0" fontId="0" fillId="0" borderId="22" xfId="0" applyFill="1" applyBorder="1"/>
    <xf numFmtId="0" fontId="0" fillId="0" borderId="23" xfId="0" applyFill="1" applyBorder="1"/>
    <xf numFmtId="175" fontId="0" fillId="0" borderId="22" xfId="0" applyNumberFormat="1" applyFill="1" applyBorder="1" applyAlignment="1">
      <alignment horizontal="center" vertical="center"/>
    </xf>
    <xf numFmtId="276" fontId="0" fillId="0" borderId="23" xfId="0" applyNumberFormat="1" applyFill="1" applyBorder="1" applyAlignment="1">
      <alignment horizontal="center" vertical="center"/>
    </xf>
    <xf numFmtId="175" fontId="0" fillId="0" borderId="29" xfId="0" applyNumberFormat="1" applyFill="1" applyBorder="1" applyAlignment="1">
      <alignment horizontal="center" vertical="center"/>
    </xf>
    <xf numFmtId="175" fontId="29" fillId="0" borderId="22" xfId="0" applyNumberFormat="1" applyFont="1" applyFill="1" applyBorder="1" applyAlignment="1">
      <alignment horizontal="center" vertical="center"/>
    </xf>
    <xf numFmtId="0" fontId="0" fillId="0" borderId="0" xfId="0" applyAlignment="1">
      <alignment horizontal="center" vertical="center"/>
    </xf>
    <xf numFmtId="0" fontId="102" fillId="53" borderId="45" xfId="0" applyFont="1" applyFill="1" applyBorder="1" applyAlignment="1"/>
    <xf numFmtId="0" fontId="102" fillId="53" borderId="46" xfId="0" applyFont="1" applyFill="1" applyBorder="1" applyAlignment="1"/>
    <xf numFmtId="4" fontId="0" fillId="2" borderId="0" xfId="0" applyNumberFormat="1" applyFill="1" applyAlignment="1">
      <alignment horizontal="center"/>
    </xf>
    <xf numFmtId="212" fontId="0" fillId="0" borderId="0" xfId="0" applyNumberFormat="1" applyBorder="1" applyAlignment="1">
      <alignment horizontal="center"/>
    </xf>
    <xf numFmtId="276" fontId="0" fillId="0" borderId="0" xfId="0" applyNumberFormat="1" applyBorder="1" applyAlignment="1">
      <alignment horizontal="center"/>
    </xf>
    <xf numFmtId="172" fontId="0" fillId="0" borderId="4"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12" xfId="0" applyNumberFormat="1" applyBorder="1" applyAlignment="1">
      <alignment horizontal="center" vertical="center"/>
    </xf>
    <xf numFmtId="0" fontId="0" fillId="0" borderId="0" xfId="0" applyAlignment="1">
      <alignment horizontal="center" vertical="center"/>
    </xf>
    <xf numFmtId="175" fontId="94" fillId="0" borderId="0" xfId="0" applyNumberFormat="1" applyFont="1" applyBorder="1" applyAlignment="1">
      <alignment horizontal="center"/>
    </xf>
    <xf numFmtId="172" fontId="0" fillId="0" borderId="0" xfId="0" applyNumberFormat="1" applyBorder="1" applyAlignment="1">
      <alignment horizontal="center" vertical="center"/>
    </xf>
    <xf numFmtId="259" fontId="26" fillId="2" borderId="0" xfId="0" applyNumberFormat="1" applyFont="1" applyFill="1" applyAlignment="1">
      <alignment horizontal="right"/>
    </xf>
    <xf numFmtId="207" fontId="0" fillId="0" borderId="0" xfId="0" applyNumberFormat="1" applyBorder="1" applyAlignment="1">
      <alignment horizontal="center" vertical="center"/>
    </xf>
    <xf numFmtId="4" fontId="0" fillId="0" borderId="15" xfId="0" applyNumberFormat="1" applyBorder="1" applyAlignment="1">
      <alignment horizontal="center"/>
    </xf>
    <xf numFmtId="172" fontId="0" fillId="0" borderId="6" xfId="0" applyNumberFormat="1" applyFill="1" applyBorder="1" applyAlignment="1">
      <alignment horizontal="center"/>
    </xf>
    <xf numFmtId="172" fontId="0" fillId="0" borderId="22" xfId="0" applyNumberFormat="1" applyFill="1" applyBorder="1" applyAlignment="1">
      <alignment horizontal="center"/>
    </xf>
    <xf numFmtId="172" fontId="0" fillId="0" borderId="33" xfId="0" applyNumberFormat="1" applyFill="1" applyBorder="1" applyAlignment="1">
      <alignment horizontal="center" vertical="center"/>
    </xf>
    <xf numFmtId="172" fontId="94" fillId="0" borderId="0" xfId="0" applyNumberFormat="1" applyFont="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172" fontId="0" fillId="0" borderId="0" xfId="0" applyNumberFormat="1" applyAlignment="1">
      <alignment horizontal="center" vertical="center"/>
    </xf>
    <xf numFmtId="0" fontId="0" fillId="2" borderId="12" xfId="0" applyFill="1" applyBorder="1"/>
    <xf numFmtId="14" fontId="0" fillId="2" borderId="33" xfId="0" applyNumberFormat="1" applyFill="1" applyBorder="1"/>
    <xf numFmtId="4" fontId="0" fillId="2" borderId="33" xfId="0" applyNumberFormat="1" applyFill="1" applyBorder="1"/>
    <xf numFmtId="4" fontId="0" fillId="0" borderId="0" xfId="0" applyNumberFormat="1" applyBorder="1" applyAlignment="1">
      <alignment horizontal="center"/>
    </xf>
    <xf numFmtId="0" fontId="26" fillId="2" borderId="0" xfId="0" applyFont="1" applyFill="1" applyAlignment="1">
      <alignment vertical="center"/>
    </xf>
    <xf numFmtId="172" fontId="26" fillId="2" borderId="0" xfId="0" applyNumberFormat="1" applyFont="1" applyFill="1" applyAlignment="1">
      <alignment horizontal="center" vertical="center"/>
    </xf>
    <xf numFmtId="4" fontId="0" fillId="0" borderId="0" xfId="0" applyNumberFormat="1" applyAlignment="1">
      <alignment horizontal="left" vertical="center"/>
    </xf>
    <xf numFmtId="178" fontId="25" fillId="0" borderId="0" xfId="0" applyNumberFormat="1" applyFont="1" applyAlignment="1">
      <alignment vertical="center"/>
    </xf>
    <xf numFmtId="9" fontId="0" fillId="0" borderId="0" xfId="207" applyFont="1" applyAlignment="1">
      <alignment horizontal="center" vertical="center"/>
    </xf>
    <xf numFmtId="0" fontId="0" fillId="0" borderId="0" xfId="0" applyAlignment="1">
      <alignment horizontal="left" vertical="center"/>
    </xf>
    <xf numFmtId="175" fontId="0" fillId="51" borderId="12" xfId="0" applyNumberFormat="1" applyFill="1" applyBorder="1" applyAlignment="1">
      <alignment horizontal="center" vertical="center"/>
    </xf>
    <xf numFmtId="175" fontId="0" fillId="51" borderId="33" xfId="0" applyNumberFormat="1" applyFill="1" applyBorder="1" applyAlignment="1">
      <alignment horizontal="center" vertical="center"/>
    </xf>
    <xf numFmtId="0" fontId="0" fillId="51" borderId="56" xfId="0" applyFill="1" applyBorder="1" applyAlignment="1">
      <alignment vertical="center"/>
    </xf>
    <xf numFmtId="0" fontId="31" fillId="0" borderId="0" xfId="0" applyFont="1" applyAlignment="1">
      <alignment horizontal="left"/>
    </xf>
    <xf numFmtId="0" fontId="0" fillId="0" borderId="0" xfId="0" applyAlignment="1">
      <alignment horizontal="center" vertical="center" wrapText="1"/>
    </xf>
    <xf numFmtId="0" fontId="109" fillId="0" borderId="4" xfId="0" applyFont="1" applyBorder="1" applyAlignment="1">
      <alignment horizontal="centerContinuous" vertical="center" wrapText="1"/>
    </xf>
    <xf numFmtId="0" fontId="0" fillId="0" borderId="6" xfId="0" applyBorder="1" applyAlignment="1">
      <alignment horizontal="centerContinuous"/>
    </xf>
    <xf numFmtId="0" fontId="0" fillId="0" borderId="5" xfId="0" applyBorder="1" applyAlignment="1">
      <alignment horizontal="centerContinuous"/>
    </xf>
    <xf numFmtId="0" fontId="109" fillId="0" borderId="12" xfId="0" applyFont="1" applyBorder="1" applyAlignment="1">
      <alignment horizontal="center" vertical="center" wrapText="1"/>
    </xf>
    <xf numFmtId="0" fontId="109" fillId="0" borderId="13" xfId="0" applyFont="1" applyBorder="1" applyAlignment="1">
      <alignment horizontal="center" vertical="center" wrapText="1"/>
    </xf>
    <xf numFmtId="255" fontId="0" fillId="0" borderId="13" xfId="0" applyNumberFormat="1" applyBorder="1" applyAlignment="1">
      <alignment horizontal="center" vertical="center"/>
    </xf>
    <xf numFmtId="0" fontId="0" fillId="0" borderId="147" xfId="0" applyBorder="1" applyAlignment="1">
      <alignment horizontal="center" vertical="center"/>
    </xf>
    <xf numFmtId="255" fontId="0" fillId="0" borderId="149" xfId="0" applyNumberFormat="1" applyBorder="1" applyAlignment="1">
      <alignment horizontal="center" vertical="center"/>
    </xf>
    <xf numFmtId="0" fontId="26" fillId="0" borderId="162" xfId="0" applyFont="1" applyBorder="1" applyAlignment="1">
      <alignment horizontal="center"/>
    </xf>
    <xf numFmtId="255" fontId="26" fillId="0" borderId="163" xfId="0" applyNumberFormat="1" applyFont="1" applyBorder="1" applyAlignment="1">
      <alignment horizontal="center"/>
    </xf>
    <xf numFmtId="255" fontId="26" fillId="0" borderId="164" xfId="0" applyNumberFormat="1" applyFont="1" applyBorder="1" applyAlignment="1">
      <alignment horizontal="center"/>
    </xf>
    <xf numFmtId="0" fontId="77" fillId="0" borderId="4" xfId="0" applyFont="1" applyBorder="1" applyAlignment="1">
      <alignment horizontal="centerContinuous" vertical="center" wrapText="1"/>
    </xf>
    <xf numFmtId="259" fontId="40" fillId="0" borderId="6" xfId="210" applyNumberFormat="1" applyFont="1" applyBorder="1" applyAlignment="1">
      <alignment horizontal="center" vertical="center"/>
    </xf>
    <xf numFmtId="0" fontId="22" fillId="0" borderId="33" xfId="0" applyFont="1" applyFill="1" applyBorder="1" applyAlignment="1">
      <alignment horizontal="left" vertical="center"/>
    </xf>
    <xf numFmtId="0" fontId="22" fillId="0" borderId="33" xfId="0" applyFont="1" applyFill="1" applyBorder="1" applyAlignment="1">
      <alignment horizontal="left" vertical="center" wrapText="1"/>
    </xf>
    <xf numFmtId="0" fontId="22" fillId="0" borderId="6" xfId="0" applyFont="1" applyFill="1" applyBorder="1" applyAlignment="1">
      <alignment horizontal="left" vertical="center" wrapText="1"/>
    </xf>
    <xf numFmtId="4" fontId="0" fillId="0" borderId="0" xfId="212" applyNumberFormat="1" applyFont="1" applyBorder="1" applyAlignment="1">
      <alignment horizontal="center" vertical="center"/>
    </xf>
    <xf numFmtId="16" fontId="0" fillId="0" borderId="0" xfId="0" applyNumberFormat="1" applyAlignment="1">
      <alignment horizontal="center"/>
    </xf>
    <xf numFmtId="0" fontId="26" fillId="0" borderId="12" xfId="0" applyFont="1" applyBorder="1" applyAlignment="1">
      <alignment horizontal="center" vertical="center"/>
    </xf>
    <xf numFmtId="0" fontId="26" fillId="0" borderId="147" xfId="0" applyFont="1" applyBorder="1" applyAlignment="1">
      <alignment horizontal="center" vertical="center"/>
    </xf>
    <xf numFmtId="255" fontId="26" fillId="2" borderId="164" xfId="0" applyNumberFormat="1" applyFont="1" applyFill="1" applyBorder="1" applyAlignment="1">
      <alignment horizontal="center"/>
    </xf>
    <xf numFmtId="0" fontId="26" fillId="0" borderId="162" xfId="0" applyFont="1" applyBorder="1" applyAlignment="1">
      <alignment horizontal="center" vertical="center"/>
    </xf>
    <xf numFmtId="255" fontId="26" fillId="0" borderId="163" xfId="0" applyNumberFormat="1" applyFont="1" applyBorder="1" applyAlignment="1">
      <alignment horizontal="center" vertical="center"/>
    </xf>
    <xf numFmtId="255" fontId="26" fillId="2" borderId="164" xfId="0" applyNumberFormat="1" applyFont="1" applyFill="1" applyBorder="1" applyAlignment="1">
      <alignment horizontal="center" vertical="center"/>
    </xf>
    <xf numFmtId="0" fontId="0" fillId="0" borderId="0" xfId="0" applyAlignment="1">
      <alignment horizontal="center" vertical="center"/>
    </xf>
    <xf numFmtId="0" fontId="33" fillId="54" borderId="3" xfId="0" applyFont="1" applyFill="1" applyBorder="1" applyAlignment="1">
      <alignment horizontal="right" vertical="center"/>
    </xf>
    <xf numFmtId="265" fontId="33" fillId="54" borderId="3" xfId="0" applyNumberFormat="1" applyFont="1" applyFill="1" applyBorder="1" applyAlignment="1">
      <alignment horizontal="center" vertical="center"/>
    </xf>
    <xf numFmtId="177" fontId="33" fillId="54" borderId="3" xfId="0" applyNumberFormat="1" applyFont="1" applyFill="1" applyBorder="1" applyAlignment="1">
      <alignment horizontal="center" vertical="center"/>
    </xf>
    <xf numFmtId="0" fontId="33" fillId="54" borderId="3" xfId="0" applyFont="1" applyFill="1" applyBorder="1" applyAlignment="1">
      <alignment horizontal="center" vertical="center"/>
    </xf>
    <xf numFmtId="0" fontId="26" fillId="54" borderId="3" xfId="0" applyFont="1" applyFill="1" applyBorder="1" applyAlignment="1">
      <alignment horizontal="right" vertical="center"/>
    </xf>
    <xf numFmtId="177" fontId="26" fillId="54" borderId="3" xfId="0" applyNumberFormat="1" applyFont="1" applyFill="1" applyBorder="1" applyAlignment="1">
      <alignment horizontal="center" vertical="center"/>
    </xf>
    <xf numFmtId="0" fontId="33" fillId="54" borderId="97" xfId="0" applyFont="1" applyFill="1" applyBorder="1" applyAlignment="1">
      <alignment horizontal="right"/>
    </xf>
    <xf numFmtId="265" fontId="33" fillId="54" borderId="97" xfId="0" applyNumberFormat="1" applyFont="1" applyFill="1" applyBorder="1" applyAlignment="1">
      <alignment horizontal="center" vertical="center"/>
    </xf>
    <xf numFmtId="0" fontId="33" fillId="54" borderId="3" xfId="0" applyFont="1" applyFill="1" applyBorder="1" applyAlignment="1">
      <alignment horizontal="right"/>
    </xf>
    <xf numFmtId="0" fontId="26" fillId="54" borderId="3" xfId="0" applyFont="1" applyFill="1" applyBorder="1" applyAlignment="1">
      <alignment horizontal="right"/>
    </xf>
    <xf numFmtId="3" fontId="33" fillId="54" borderId="3" xfId="0" applyNumberFormat="1" applyFont="1" applyFill="1" applyBorder="1" applyAlignment="1">
      <alignment horizontal="center" vertical="center"/>
    </xf>
    <xf numFmtId="265" fontId="26" fillId="54" borderId="3" xfId="0" applyNumberFormat="1" applyFont="1" applyFill="1" applyBorder="1" applyAlignment="1">
      <alignment horizontal="center" vertical="center"/>
    </xf>
    <xf numFmtId="0" fontId="33" fillId="54" borderId="97" xfId="0" applyFont="1" applyFill="1" applyBorder="1" applyAlignment="1">
      <alignment horizontal="right" vertical="center"/>
    </xf>
    <xf numFmtId="4" fontId="26" fillId="54" borderId="3" xfId="0" applyNumberFormat="1" applyFont="1" applyFill="1" applyBorder="1" applyAlignment="1">
      <alignment horizontal="center" vertical="center"/>
    </xf>
    <xf numFmtId="4" fontId="33" fillId="54" borderId="3" xfId="0" applyNumberFormat="1" applyFont="1" applyFill="1" applyBorder="1" applyAlignment="1">
      <alignment horizontal="center" vertical="center"/>
    </xf>
    <xf numFmtId="177" fontId="26" fillId="48" borderId="3" xfId="0" applyNumberFormat="1" applyFont="1" applyFill="1" applyBorder="1" applyAlignment="1">
      <alignment horizontal="center" vertical="center"/>
    </xf>
    <xf numFmtId="3" fontId="33" fillId="48" borderId="3" xfId="0" applyNumberFormat="1" applyFont="1" applyFill="1" applyBorder="1" applyAlignment="1">
      <alignment horizontal="center" vertical="center"/>
    </xf>
    <xf numFmtId="265" fontId="33" fillId="48" borderId="3" xfId="0" applyNumberFormat="1" applyFont="1" applyFill="1" applyBorder="1" applyAlignment="1">
      <alignment horizontal="center" vertical="center"/>
    </xf>
    <xf numFmtId="265" fontId="26" fillId="48" borderId="3" xfId="0" applyNumberFormat="1" applyFont="1" applyFill="1" applyBorder="1" applyAlignment="1">
      <alignment horizontal="center" vertical="center"/>
    </xf>
    <xf numFmtId="265" fontId="33" fillId="48" borderId="97" xfId="0" applyNumberFormat="1" applyFont="1" applyFill="1" applyBorder="1" applyAlignment="1">
      <alignment horizontal="center" vertical="center"/>
    </xf>
    <xf numFmtId="0" fontId="0" fillId="55" borderId="0" xfId="0" applyFill="1" applyAlignment="1">
      <alignment horizontal="right"/>
    </xf>
    <xf numFmtId="0" fontId="29" fillId="55" borderId="0" xfId="0" applyFont="1" applyFill="1" applyAlignment="1">
      <alignment horizontal="right"/>
    </xf>
    <xf numFmtId="0" fontId="31" fillId="55" borderId="0" xfId="0" applyFont="1" applyFill="1" applyAlignment="1">
      <alignment horizontal="right"/>
    </xf>
    <xf numFmtId="0" fontId="37" fillId="42" borderId="41" xfId="210" applyFont="1" applyFill="1" applyBorder="1" applyAlignment="1">
      <alignment horizontal="center" vertical="center"/>
    </xf>
    <xf numFmtId="0" fontId="38" fillId="0" borderId="43" xfId="210" applyFont="1" applyBorder="1" applyAlignment="1">
      <alignment horizontal="center"/>
    </xf>
    <xf numFmtId="0" fontId="38" fillId="0" borderId="45" xfId="210" applyFont="1" applyBorder="1" applyAlignment="1">
      <alignment horizontal="center"/>
    </xf>
    <xf numFmtId="0" fontId="37" fillId="42" borderId="127" xfId="210" applyFont="1" applyFill="1" applyBorder="1" applyAlignment="1">
      <alignment horizontal="center" vertical="center"/>
    </xf>
    <xf numFmtId="0" fontId="38" fillId="0" borderId="58" xfId="210" applyFont="1" applyBorder="1" applyAlignment="1">
      <alignment horizontal="center"/>
    </xf>
    <xf numFmtId="0" fontId="38" fillId="0" borderId="128" xfId="210" applyFont="1" applyBorder="1" applyAlignment="1">
      <alignment horizontal="center"/>
    </xf>
    <xf numFmtId="0" fontId="37" fillId="42" borderId="127" xfId="210" applyFont="1" applyFill="1" applyBorder="1" applyAlignment="1">
      <alignment horizontal="center" vertical="center" wrapText="1"/>
    </xf>
    <xf numFmtId="0" fontId="38" fillId="0" borderId="58" xfId="210" applyFont="1" applyBorder="1" applyAlignment="1">
      <alignment horizontal="center" wrapText="1"/>
    </xf>
    <xf numFmtId="0" fontId="38" fillId="0" borderId="128" xfId="210" applyFont="1" applyBorder="1" applyAlignment="1">
      <alignment horizontal="center" wrapText="1"/>
    </xf>
    <xf numFmtId="0" fontId="35" fillId="0" borderId="4" xfId="210" applyFont="1" applyBorder="1" applyAlignment="1">
      <alignment horizontal="center" vertical="center" wrapText="1"/>
    </xf>
    <xf numFmtId="0" fontId="35" fillId="0" borderId="12" xfId="210" applyFont="1" applyBorder="1" applyAlignment="1">
      <alignment horizontal="center" vertical="center" wrapText="1"/>
    </xf>
    <xf numFmtId="0" fontId="35" fillId="0" borderId="14" xfId="210" applyFont="1" applyBorder="1" applyAlignment="1">
      <alignment horizontal="center" vertical="center" wrapText="1"/>
    </xf>
    <xf numFmtId="0" fontId="35" fillId="0" borderId="47" xfId="210" applyFont="1" applyBorder="1" applyAlignment="1">
      <alignment horizontal="center" vertical="center"/>
    </xf>
    <xf numFmtId="0" fontId="35" fillId="0" borderId="39" xfId="210" applyFont="1" applyBorder="1" applyAlignment="1">
      <alignment horizontal="center" vertical="center"/>
    </xf>
    <xf numFmtId="171" fontId="59" fillId="0" borderId="47" xfId="0" applyNumberFormat="1" applyFont="1" applyBorder="1" applyAlignment="1" applyProtection="1">
      <alignment horizontal="center" vertical="center"/>
      <protection locked="0"/>
    </xf>
    <xf numFmtId="171" fontId="59" fillId="0" borderId="39" xfId="0" applyNumberFormat="1" applyFont="1" applyBorder="1" applyAlignment="1" applyProtection="1">
      <alignment horizontal="center" vertical="center"/>
      <protection locked="0"/>
    </xf>
    <xf numFmtId="184" fontId="33" fillId="0" borderId="47" xfId="0" applyNumberFormat="1" applyFont="1" applyBorder="1" applyAlignment="1">
      <alignment horizontal="center" vertical="center"/>
    </xf>
    <xf numFmtId="184" fontId="33" fillId="0" borderId="39" xfId="0" applyNumberFormat="1" applyFont="1" applyBorder="1" applyAlignment="1">
      <alignment horizontal="center" vertical="center"/>
    </xf>
    <xf numFmtId="0" fontId="37" fillId="42" borderId="127" xfId="210" applyFont="1" applyFill="1" applyBorder="1" applyAlignment="1">
      <alignment horizontal="left" vertical="center"/>
    </xf>
    <xf numFmtId="0" fontId="38" fillId="0" borderId="58" xfId="210" applyFont="1" applyBorder="1" applyAlignment="1">
      <alignment horizontal="left"/>
    </xf>
    <xf numFmtId="0" fontId="38" fillId="0" borderId="128" xfId="210" applyFont="1" applyBorder="1" applyAlignment="1">
      <alignment horizontal="left"/>
    </xf>
    <xf numFmtId="188" fontId="56" fillId="4" borderId="6" xfId="207" applyNumberFormat="1" applyFont="1" applyFill="1" applyBorder="1" applyAlignment="1" applyProtection="1">
      <alignment horizontal="center" vertical="center"/>
      <protection locked="0"/>
    </xf>
    <xf numFmtId="188" fontId="56" fillId="4" borderId="22" xfId="207" applyNumberFormat="1" applyFont="1" applyFill="1" applyBorder="1" applyAlignment="1" applyProtection="1">
      <alignment horizontal="center" vertical="center"/>
      <protection locked="0"/>
    </xf>
    <xf numFmtId="188" fontId="56" fillId="4" borderId="33" xfId="207" applyNumberFormat="1" applyFont="1" applyFill="1" applyBorder="1" applyAlignment="1" applyProtection="1">
      <alignment horizontal="center" vertical="center"/>
      <protection locked="0"/>
    </xf>
    <xf numFmtId="175" fontId="18" fillId="0" borderId="6" xfId="0" applyNumberFormat="1" applyFont="1" applyBorder="1" applyAlignment="1">
      <alignment horizontal="center" vertical="center"/>
    </xf>
    <xf numFmtId="175" fontId="18" fillId="0" borderId="22" xfId="0" applyNumberFormat="1" applyFont="1" applyBorder="1" applyAlignment="1">
      <alignment horizontal="center" vertical="center"/>
    </xf>
    <xf numFmtId="175" fontId="18" fillId="0" borderId="33" xfId="0" applyNumberFormat="1" applyFont="1" applyBorder="1" applyAlignment="1">
      <alignment horizontal="center" vertical="center"/>
    </xf>
    <xf numFmtId="178" fontId="25" fillId="0" borderId="34" xfId="0" applyNumberFormat="1" applyFont="1" applyBorder="1" applyAlignment="1">
      <alignment horizontal="center" vertical="center"/>
    </xf>
    <xf numFmtId="178" fontId="25" fillId="0" borderId="47" xfId="0" applyNumberFormat="1" applyFont="1" applyBorder="1" applyAlignment="1">
      <alignment horizontal="center" vertical="center"/>
    </xf>
    <xf numFmtId="178" fontId="25" fillId="0" borderId="22" xfId="0" applyNumberFormat="1" applyFont="1" applyBorder="1" applyAlignment="1">
      <alignment horizontal="center" vertical="center"/>
    </xf>
    <xf numFmtId="172" fontId="18" fillId="0" borderId="33" xfId="0" applyNumberFormat="1" applyFont="1" applyBorder="1" applyAlignment="1">
      <alignment horizontal="center" vertical="center"/>
    </xf>
    <xf numFmtId="178" fontId="25" fillId="0" borderId="135" xfId="0" applyNumberFormat="1" applyFont="1" applyBorder="1" applyAlignment="1">
      <alignment horizontal="center" vertical="center"/>
    </xf>
    <xf numFmtId="0" fontId="35" fillId="0" borderId="34" xfId="210" applyFont="1" applyBorder="1" applyAlignment="1">
      <alignment horizontal="center" vertical="center"/>
    </xf>
    <xf numFmtId="271" fontId="59" fillId="0" borderId="34" xfId="0" applyNumberFormat="1" applyFont="1" applyBorder="1" applyAlignment="1" applyProtection="1">
      <alignment horizontal="center" vertical="center"/>
      <protection locked="0"/>
    </xf>
    <xf numFmtId="271" fontId="59" fillId="0" borderId="47" xfId="0" applyNumberFormat="1" applyFont="1" applyBorder="1" applyAlignment="1" applyProtection="1">
      <alignment horizontal="center" vertical="center"/>
      <protection locked="0"/>
    </xf>
    <xf numFmtId="271" fontId="59" fillId="0" borderId="39" xfId="0" applyNumberFormat="1" applyFont="1" applyBorder="1" applyAlignment="1" applyProtection="1">
      <alignment horizontal="center" vertical="center"/>
      <protection locked="0"/>
    </xf>
    <xf numFmtId="184" fontId="33" fillId="0" borderId="34" xfId="0" applyNumberFormat="1" applyFont="1" applyBorder="1" applyAlignment="1">
      <alignment horizontal="center" vertical="center"/>
    </xf>
    <xf numFmtId="172" fontId="18" fillId="0" borderId="6" xfId="0" applyNumberFormat="1" applyFont="1" applyBorder="1" applyAlignment="1">
      <alignment horizontal="center" vertical="center"/>
    </xf>
    <xf numFmtId="172" fontId="18" fillId="0" borderId="22" xfId="0" applyNumberFormat="1" applyFont="1" applyBorder="1" applyAlignment="1">
      <alignment horizontal="center" vertical="center"/>
    </xf>
    <xf numFmtId="188" fontId="56" fillId="4" borderId="148" xfId="207" applyNumberFormat="1" applyFont="1" applyFill="1" applyBorder="1" applyAlignment="1" applyProtection="1">
      <alignment horizontal="center" vertical="center"/>
      <protection locked="0"/>
    </xf>
    <xf numFmtId="172" fontId="18" fillId="0" borderId="148" xfId="0" applyNumberFormat="1" applyFont="1" applyBorder="1" applyAlignment="1">
      <alignment horizontal="center" vertical="center"/>
    </xf>
    <xf numFmtId="171" fontId="59" fillId="0" borderId="34" xfId="0" applyNumberFormat="1" applyFont="1" applyBorder="1" applyAlignment="1" applyProtection="1">
      <alignment horizontal="center" vertical="center"/>
      <protection locked="0"/>
    </xf>
    <xf numFmtId="178" fontId="33" fillId="0" borderId="34" xfId="0" applyNumberFormat="1" applyFont="1" applyBorder="1" applyAlignment="1">
      <alignment horizontal="center" vertical="center"/>
    </xf>
    <xf numFmtId="178" fontId="33" fillId="0" borderId="47" xfId="0" applyNumberFormat="1" applyFont="1" applyBorder="1" applyAlignment="1">
      <alignment horizontal="center" vertical="center"/>
    </xf>
    <xf numFmtId="178" fontId="33" fillId="0" borderId="39" xfId="0" applyNumberFormat="1" applyFont="1" applyBorder="1" applyAlignment="1">
      <alignment horizontal="center" vertical="center"/>
    </xf>
    <xf numFmtId="0" fontId="35" fillId="0" borderId="33" xfId="210" applyFont="1" applyBorder="1" applyAlignment="1">
      <alignment horizontal="center" vertical="center"/>
    </xf>
    <xf numFmtId="210" fontId="18" fillId="0" borderId="33" xfId="0" applyNumberFormat="1" applyFont="1" applyBorder="1" applyAlignment="1">
      <alignment horizontal="center" vertical="center"/>
    </xf>
    <xf numFmtId="178" fontId="25" fillId="0" borderId="33" xfId="0" applyNumberFormat="1" applyFont="1" applyBorder="1" applyAlignment="1">
      <alignment horizontal="center" vertical="center"/>
    </xf>
    <xf numFmtId="0" fontId="35" fillId="0" borderId="139" xfId="210" applyFont="1" applyBorder="1" applyAlignment="1">
      <alignment horizontal="center" vertical="center"/>
    </xf>
    <xf numFmtId="210" fontId="18" fillId="0" borderId="139" xfId="0" applyNumberFormat="1" applyFont="1" applyBorder="1" applyAlignment="1">
      <alignment horizontal="center" vertical="center"/>
    </xf>
    <xf numFmtId="210" fontId="18" fillId="0" borderId="47" xfId="0" applyNumberFormat="1" applyFont="1" applyBorder="1" applyAlignment="1">
      <alignment horizontal="center" vertical="center"/>
    </xf>
    <xf numFmtId="210" fontId="18" fillId="0" borderId="39" xfId="0" applyNumberFormat="1" applyFont="1" applyBorder="1" applyAlignment="1">
      <alignment horizontal="center" vertical="center"/>
    </xf>
    <xf numFmtId="178" fontId="25" fillId="0" borderId="139" xfId="0" applyNumberFormat="1" applyFont="1" applyBorder="1" applyAlignment="1">
      <alignment horizontal="center" vertical="center"/>
    </xf>
    <xf numFmtId="178" fontId="25" fillId="0" borderId="39" xfId="0" applyNumberFormat="1" applyFont="1" applyBorder="1" applyAlignment="1">
      <alignment horizontal="center" vertical="center"/>
    </xf>
    <xf numFmtId="0" fontId="22" fillId="0" borderId="130" xfId="0" applyFont="1" applyBorder="1" applyAlignment="1">
      <alignment horizontal="center" vertical="center" wrapText="1"/>
    </xf>
    <xf numFmtId="0" fontId="22" fillId="0" borderId="47" xfId="0" applyFont="1" applyBorder="1" applyAlignment="1">
      <alignment horizontal="center" vertical="center" wrapText="1"/>
    </xf>
    <xf numFmtId="0" fontId="22" fillId="0" borderId="22" xfId="0" applyFont="1" applyBorder="1" applyAlignment="1">
      <alignment horizontal="center" vertical="center" wrapText="1"/>
    </xf>
    <xf numFmtId="172" fontId="18" fillId="0" borderId="130" xfId="0" applyNumberFormat="1" applyFont="1" applyBorder="1" applyAlignment="1">
      <alignment horizontal="center" vertical="center"/>
    </xf>
    <xf numFmtId="172" fontId="18" fillId="0" borderId="47" xfId="0" applyNumberFormat="1" applyFont="1" applyBorder="1" applyAlignment="1">
      <alignment horizontal="center" vertical="center"/>
    </xf>
    <xf numFmtId="178" fontId="25" fillId="0" borderId="148" xfId="0" applyNumberFormat="1" applyFont="1" applyBorder="1" applyAlignment="1">
      <alignment horizontal="center" vertical="center"/>
    </xf>
    <xf numFmtId="178" fontId="25" fillId="0" borderId="130" xfId="0" applyNumberFormat="1" applyFont="1" applyBorder="1" applyAlignment="1">
      <alignment horizontal="center" vertical="center"/>
    </xf>
    <xf numFmtId="188" fontId="56" fillId="4" borderId="33" xfId="207" applyNumberFormat="1" applyFont="1" applyFill="1" applyBorder="1" applyAlignment="1" applyProtection="1">
      <alignment horizontal="center" vertical="center" wrapText="1"/>
      <protection locked="0"/>
    </xf>
    <xf numFmtId="188" fontId="56" fillId="4" borderId="6" xfId="207" applyNumberFormat="1" applyFont="1" applyFill="1" applyBorder="1" applyAlignment="1" applyProtection="1">
      <alignment horizontal="center" vertical="center" wrapText="1"/>
      <protection locked="0"/>
    </xf>
    <xf numFmtId="188" fontId="56" fillId="4" borderId="22" xfId="207" applyNumberFormat="1" applyFont="1" applyFill="1" applyBorder="1" applyAlignment="1" applyProtection="1">
      <alignment horizontal="center" vertical="center" wrapText="1"/>
      <protection locked="0"/>
    </xf>
    <xf numFmtId="175" fontId="18" fillId="0" borderId="148" xfId="0" applyNumberFormat="1" applyFont="1" applyBorder="1" applyAlignment="1">
      <alignment horizontal="center" vertical="center"/>
    </xf>
    <xf numFmtId="175" fontId="18" fillId="0" borderId="47" xfId="0" applyNumberFormat="1" applyFont="1" applyBorder="1" applyAlignment="1">
      <alignment horizontal="center" vertical="center"/>
    </xf>
    <xf numFmtId="175" fontId="18" fillId="0" borderId="34" xfId="0" applyNumberFormat="1" applyFont="1" applyBorder="1" applyAlignment="1">
      <alignment horizontal="center" vertical="center"/>
    </xf>
    <xf numFmtId="172" fontId="18" fillId="0" borderId="34" xfId="0" applyNumberFormat="1" applyFont="1" applyBorder="1" applyAlignment="1">
      <alignment horizontal="center" vertical="center"/>
    </xf>
    <xf numFmtId="0" fontId="35" fillId="0" borderId="15" xfId="210" applyFont="1" applyBorder="1" applyAlignment="1">
      <alignment horizontal="center" vertical="center"/>
    </xf>
    <xf numFmtId="210" fontId="18" fillId="0" borderId="15" xfId="0" applyNumberFormat="1" applyFont="1" applyBorder="1" applyAlignment="1">
      <alignment horizontal="center" vertical="center"/>
    </xf>
    <xf numFmtId="178" fontId="25" fillId="0" borderId="15" xfId="0" applyNumberFormat="1" applyFont="1" applyBorder="1" applyAlignment="1">
      <alignment horizontal="center" vertical="center"/>
    </xf>
    <xf numFmtId="210" fontId="18" fillId="0" borderId="131" xfId="0" applyNumberFormat="1" applyFont="1" applyBorder="1" applyAlignment="1">
      <alignment horizontal="center" vertical="center"/>
    </xf>
    <xf numFmtId="0" fontId="35" fillId="0" borderId="135" xfId="210" applyFont="1" applyBorder="1" applyAlignment="1">
      <alignment horizontal="center" vertical="center"/>
    </xf>
    <xf numFmtId="210" fontId="18" fillId="0" borderId="135" xfId="0" applyNumberFormat="1" applyFont="1" applyBorder="1" applyAlignment="1">
      <alignment horizontal="center" vertical="center"/>
    </xf>
    <xf numFmtId="0" fontId="0" fillId="0" borderId="97" xfId="0" applyBorder="1" applyAlignment="1">
      <alignment horizontal="right" vertical="center"/>
    </xf>
    <xf numFmtId="0" fontId="0" fillId="0" borderId="33" xfId="0" applyBorder="1" applyAlignment="1">
      <alignment horizontal="center" vertical="center" wrapText="1"/>
    </xf>
    <xf numFmtId="0" fontId="0" fillId="0" borderId="33" xfId="0" applyBorder="1" applyAlignment="1">
      <alignment horizontal="center" wrapText="1"/>
    </xf>
    <xf numFmtId="0" fontId="90" fillId="0" borderId="33" xfId="0" applyFont="1" applyBorder="1" applyAlignment="1">
      <alignment horizontal="center" vertical="top" wrapText="1"/>
    </xf>
    <xf numFmtId="0" fontId="0" fillId="0" borderId="33" xfId="0" applyBorder="1" applyAlignment="1">
      <alignment horizontal="center" vertical="center"/>
    </xf>
    <xf numFmtId="0" fontId="90" fillId="0" borderId="33" xfId="0" applyFont="1" applyBorder="1" applyAlignment="1">
      <alignment horizontal="center" vertical="center" wrapText="1"/>
    </xf>
    <xf numFmtId="194" fontId="32" fillId="17" borderId="12" xfId="0" applyNumberFormat="1" applyFont="1" applyFill="1" applyBorder="1" applyAlignment="1">
      <alignment horizontal="center" vertical="center" wrapText="1"/>
    </xf>
    <xf numFmtId="194" fontId="32" fillId="17" borderId="33" xfId="0" applyNumberFormat="1" applyFont="1" applyFill="1" applyBorder="1" applyAlignment="1">
      <alignment horizontal="center" vertical="center" wrapText="1"/>
    </xf>
    <xf numFmtId="194" fontId="42" fillId="17" borderId="56" xfId="0" applyNumberFormat="1" applyFont="1" applyFill="1" applyBorder="1" applyAlignment="1">
      <alignment horizontal="center" vertical="center" wrapText="1"/>
    </xf>
    <xf numFmtId="194" fontId="42" fillId="17" borderId="30" xfId="0" applyNumberFormat="1" applyFont="1" applyFill="1" applyBorder="1" applyAlignment="1">
      <alignment horizontal="center" vertical="center" wrapText="1"/>
    </xf>
    <xf numFmtId="0" fontId="25" fillId="18" borderId="31" xfId="0" applyFont="1" applyFill="1" applyBorder="1" applyAlignment="1">
      <alignment horizontal="center" vertical="center" wrapText="1"/>
    </xf>
    <xf numFmtId="0" fontId="25" fillId="18" borderId="37" xfId="0" applyFont="1" applyFill="1" applyBorder="1" applyAlignment="1">
      <alignment horizontal="center" vertical="center" wrapText="1"/>
    </xf>
    <xf numFmtId="0" fontId="0" fillId="18" borderId="31" xfId="0" applyFill="1" applyBorder="1" applyAlignment="1">
      <alignment horizontal="center" vertical="center" wrapText="1"/>
    </xf>
    <xf numFmtId="0" fontId="0" fillId="18" borderId="30" xfId="0" applyFill="1" applyBorder="1" applyAlignment="1">
      <alignment horizontal="center" vertical="center" wrapText="1"/>
    </xf>
    <xf numFmtId="0" fontId="0" fillId="19" borderId="3" xfId="0" applyFill="1" applyBorder="1" applyAlignment="1">
      <alignment horizontal="center" vertical="center" wrapText="1"/>
    </xf>
    <xf numFmtId="194" fontId="0" fillId="13" borderId="33" xfId="0" applyNumberFormat="1" applyFill="1" applyBorder="1" applyAlignment="1">
      <alignment horizontal="center" vertical="center" wrapText="1"/>
    </xf>
    <xf numFmtId="0" fontId="0" fillId="13" borderId="3" xfId="0" applyFill="1" applyBorder="1" applyAlignment="1">
      <alignment horizontal="center" vertical="center" wrapText="1"/>
    </xf>
    <xf numFmtId="0" fontId="0" fillId="13" borderId="30" xfId="0" applyFill="1" applyBorder="1" applyAlignment="1">
      <alignment horizontal="center" vertical="center" wrapText="1"/>
    </xf>
    <xf numFmtId="0" fontId="0" fillId="13" borderId="31" xfId="0" applyFill="1" applyBorder="1" applyAlignment="1">
      <alignment horizontal="center" vertical="center" wrapText="1"/>
    </xf>
    <xf numFmtId="0" fontId="32" fillId="20" borderId="3" xfId="0" applyFont="1" applyFill="1" applyBorder="1" applyAlignment="1">
      <alignment horizontal="center" vertical="center" wrapText="1"/>
    </xf>
    <xf numFmtId="0" fontId="32" fillId="20" borderId="37" xfId="0" applyFont="1" applyFill="1" applyBorder="1" applyAlignment="1">
      <alignment horizontal="center" vertical="center" wrapText="1"/>
    </xf>
    <xf numFmtId="181" fontId="0" fillId="15" borderId="15" xfId="0" applyNumberFormat="1" applyFill="1" applyBorder="1" applyAlignment="1">
      <alignment horizontal="center" vertical="center" wrapText="1"/>
    </xf>
    <xf numFmtId="181" fontId="0" fillId="15" borderId="57" xfId="0" applyNumberFormat="1" applyFill="1" applyBorder="1" applyAlignment="1">
      <alignment horizontal="center" vertical="center" wrapText="1"/>
    </xf>
    <xf numFmtId="181" fontId="0" fillId="15" borderId="27" xfId="0" applyNumberFormat="1" applyFill="1" applyBorder="1" applyAlignment="1">
      <alignment horizontal="center" vertical="center" wrapText="1"/>
    </xf>
    <xf numFmtId="17" fontId="33" fillId="4" borderId="4" xfId="0" applyNumberFormat="1" applyFont="1" applyFill="1" applyBorder="1" applyAlignment="1">
      <alignment horizontal="center" vertical="center" wrapText="1"/>
    </xf>
    <xf numFmtId="17" fontId="33" fillId="4" borderId="6" xfId="0" applyNumberFormat="1" applyFont="1" applyFill="1" applyBorder="1" applyAlignment="1">
      <alignment horizontal="center" vertical="center" wrapText="1"/>
    </xf>
    <xf numFmtId="17" fontId="33" fillId="4" borderId="54" xfId="0" applyNumberFormat="1" applyFont="1" applyFill="1" applyBorder="1" applyAlignment="1">
      <alignment horizontal="center" vertical="center" wrapText="1"/>
    </xf>
    <xf numFmtId="17" fontId="33" fillId="4" borderId="5" xfId="0" applyNumberFormat="1" applyFont="1" applyFill="1" applyBorder="1" applyAlignment="1">
      <alignment horizontal="center" vertical="center" wrapText="1"/>
    </xf>
    <xf numFmtId="17" fontId="33" fillId="4" borderId="26" xfId="0" applyNumberFormat="1" applyFont="1" applyFill="1" applyBorder="1" applyAlignment="1">
      <alignment horizontal="center" vertical="center" wrapText="1"/>
    </xf>
    <xf numFmtId="181" fontId="0" fillId="0" borderId="15" xfId="0" applyNumberFormat="1" applyBorder="1" applyAlignment="1">
      <alignment horizontal="center" vertical="center" wrapText="1"/>
    </xf>
    <xf numFmtId="181" fontId="0" fillId="0" borderId="16" xfId="0" applyNumberFormat="1" applyBorder="1" applyAlignment="1">
      <alignment horizontal="center" vertical="center" wrapText="1"/>
    </xf>
    <xf numFmtId="181" fontId="0" fillId="0" borderId="14" xfId="0" applyNumberFormat="1" applyBorder="1" applyAlignment="1">
      <alignment horizontal="center" vertical="center" wrapText="1"/>
    </xf>
    <xf numFmtId="0" fontId="0" fillId="0" borderId="0" xfId="0" applyAlignment="1">
      <alignment horizontal="center" vertical="center" wrapText="1"/>
    </xf>
    <xf numFmtId="0" fontId="0" fillId="18" borderId="33" xfId="0" applyFill="1" applyBorder="1" applyAlignment="1">
      <alignment horizontal="center" vertical="center" wrapText="1"/>
    </xf>
    <xf numFmtId="0" fontId="0" fillId="19" borderId="33"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31" xfId="0" applyFill="1" applyBorder="1" applyAlignment="1">
      <alignment horizontal="center" vertical="center" wrapText="1"/>
    </xf>
    <xf numFmtId="0" fontId="0" fillId="19" borderId="30" xfId="0" applyFill="1" applyBorder="1" applyAlignment="1">
      <alignment horizontal="center" vertical="center" wrapText="1"/>
    </xf>
    <xf numFmtId="0" fontId="0" fillId="19" borderId="37" xfId="0" applyFill="1" applyBorder="1" applyAlignment="1">
      <alignment horizontal="center" vertical="center" wrapText="1"/>
    </xf>
    <xf numFmtId="0" fontId="0" fillId="13" borderId="0" xfId="0" applyFill="1" applyAlignment="1">
      <alignment horizontal="center" vertical="center" wrapText="1"/>
    </xf>
    <xf numFmtId="194" fontId="0" fillId="14" borderId="33" xfId="0" applyNumberFormat="1" applyFill="1" applyBorder="1" applyAlignment="1">
      <alignment horizontal="center" vertical="center" wrapText="1"/>
    </xf>
    <xf numFmtId="194" fontId="32" fillId="13" borderId="31" xfId="0" applyNumberFormat="1" applyFont="1" applyFill="1" applyBorder="1" applyAlignment="1">
      <alignment horizontal="center" vertical="center" wrapText="1"/>
    </xf>
    <xf numFmtId="194" fontId="32" fillId="13" borderId="3" xfId="0" applyNumberFormat="1" applyFont="1" applyFill="1" applyBorder="1" applyAlignment="1">
      <alignment horizontal="center" vertical="center" wrapText="1"/>
    </xf>
    <xf numFmtId="194" fontId="32" fillId="13" borderId="37" xfId="0" applyNumberFormat="1" applyFont="1" applyFill="1" applyBorder="1" applyAlignment="1">
      <alignment horizontal="center" vertical="center" wrapText="1"/>
    </xf>
    <xf numFmtId="0" fontId="0" fillId="47" borderId="33" xfId="0" applyFill="1" applyBorder="1" applyAlignment="1">
      <alignment horizontal="center" vertical="center" wrapText="1"/>
    </xf>
    <xf numFmtId="0" fontId="0" fillId="47" borderId="13" xfId="0" applyFill="1" applyBorder="1" applyAlignment="1">
      <alignment horizontal="center" vertical="center" wrapText="1"/>
    </xf>
    <xf numFmtId="270" fontId="43" fillId="17" borderId="12" xfId="0" applyNumberFormat="1" applyFont="1" applyFill="1" applyBorder="1" applyAlignment="1">
      <alignment horizontal="center" vertical="center" wrapText="1"/>
    </xf>
    <xf numFmtId="270" fontId="43" fillId="17" borderId="33" xfId="0" applyNumberFormat="1" applyFont="1" applyFill="1" applyBorder="1" applyAlignment="1">
      <alignment horizontal="center" vertical="center" wrapText="1"/>
    </xf>
    <xf numFmtId="194" fontId="0" fillId="13" borderId="31" xfId="0" applyNumberFormat="1" applyFill="1" applyBorder="1" applyAlignment="1">
      <alignment horizontal="center" vertical="center" wrapText="1"/>
    </xf>
    <xf numFmtId="194" fontId="0" fillId="13" borderId="3" xfId="0" applyNumberFormat="1" applyFill="1" applyBorder="1" applyAlignment="1">
      <alignment horizontal="center" vertical="center" wrapText="1"/>
    </xf>
    <xf numFmtId="194" fontId="0" fillId="13" borderId="37" xfId="0" applyNumberFormat="1" applyFill="1" applyBorder="1" applyAlignment="1">
      <alignment horizontal="center" vertical="center" wrapText="1"/>
    </xf>
    <xf numFmtId="181" fontId="0" fillId="15" borderId="14" xfId="0" applyNumberFormat="1" applyFill="1" applyBorder="1" applyAlignment="1">
      <alignment horizontal="center" vertical="center" wrapText="1"/>
    </xf>
    <xf numFmtId="181" fontId="0" fillId="15" borderId="16" xfId="0" applyNumberFormat="1" applyFill="1" applyBorder="1" applyAlignment="1">
      <alignment horizontal="center" vertical="center" wrapText="1"/>
    </xf>
    <xf numFmtId="17" fontId="33" fillId="4" borderId="9" xfId="0" applyNumberFormat="1" applyFont="1" applyFill="1" applyBorder="1" applyAlignment="1">
      <alignment horizontal="center" vertical="center" wrapText="1"/>
    </xf>
    <xf numFmtId="17" fontId="33" fillId="4" borderId="55" xfId="0" applyNumberFormat="1" applyFont="1" applyFill="1" applyBorder="1" applyAlignment="1">
      <alignment horizontal="center" vertical="center" wrapText="1"/>
    </xf>
    <xf numFmtId="17" fontId="33" fillId="4" borderId="10" xfId="0" applyNumberFormat="1" applyFont="1" applyFill="1" applyBorder="1" applyAlignment="1">
      <alignment horizontal="center" vertical="center" wrapText="1"/>
    </xf>
    <xf numFmtId="0" fontId="0" fillId="19" borderId="56" xfId="0" applyFill="1" applyBorder="1" applyAlignment="1">
      <alignment horizontal="center" vertical="center" wrapText="1"/>
    </xf>
    <xf numFmtId="194" fontId="43" fillId="17" borderId="12" xfId="0" applyNumberFormat="1" applyFont="1" applyFill="1" applyBorder="1" applyAlignment="1">
      <alignment horizontal="center" vertical="center" wrapText="1"/>
    </xf>
    <xf numFmtId="194" fontId="43" fillId="17" borderId="33" xfId="0" applyNumberFormat="1" applyFont="1" applyFill="1" applyBorder="1" applyAlignment="1">
      <alignment horizontal="center" vertical="center" wrapText="1"/>
    </xf>
    <xf numFmtId="194" fontId="0" fillId="18" borderId="56" xfId="0" applyNumberFormat="1" applyFill="1" applyBorder="1" applyAlignment="1">
      <alignment horizontal="center" vertical="center" wrapText="1"/>
    </xf>
    <xf numFmtId="194" fontId="0" fillId="18" borderId="30" xfId="0" applyNumberFormat="1" applyFill="1" applyBorder="1" applyAlignment="1">
      <alignment horizontal="center" vertical="center" wrapText="1"/>
    </xf>
    <xf numFmtId="0" fontId="0" fillId="13" borderId="12" xfId="0" applyFill="1" applyBorder="1" applyAlignment="1">
      <alignment horizontal="center" vertical="center" wrapText="1"/>
    </xf>
    <xf numFmtId="0" fontId="0" fillId="13" borderId="33" xfId="0" applyFill="1" applyBorder="1" applyAlignment="1">
      <alignment horizontal="center" vertical="center" wrapText="1"/>
    </xf>
    <xf numFmtId="194" fontId="0" fillId="13" borderId="30" xfId="0" applyNumberFormat="1" applyFill="1" applyBorder="1" applyAlignment="1">
      <alignment horizontal="center" vertical="center" wrapText="1"/>
    </xf>
    <xf numFmtId="194" fontId="0" fillId="13" borderId="12" xfId="0" applyNumberFormat="1" applyFill="1" applyBorder="1" applyAlignment="1">
      <alignment horizontal="center" vertical="center" wrapText="1"/>
    </xf>
    <xf numFmtId="194" fontId="0" fillId="14" borderId="31" xfId="0" applyNumberFormat="1" applyFill="1" applyBorder="1" applyAlignment="1">
      <alignment horizontal="center" vertical="center" wrapText="1"/>
    </xf>
    <xf numFmtId="194" fontId="0" fillId="14" borderId="37" xfId="0" applyNumberFormat="1" applyFill="1" applyBorder="1" applyAlignment="1">
      <alignment horizontal="center" vertical="center" wrapText="1"/>
    </xf>
    <xf numFmtId="0" fontId="0" fillId="13" borderId="56" xfId="0" applyFill="1" applyBorder="1" applyAlignment="1">
      <alignment horizontal="center" vertical="center" wrapText="1"/>
    </xf>
    <xf numFmtId="0" fontId="0" fillId="13" borderId="37" xfId="0" applyFill="1" applyBorder="1" applyAlignment="1">
      <alignment horizontal="center" vertical="center" wrapText="1"/>
    </xf>
    <xf numFmtId="0" fontId="0" fillId="48" borderId="33" xfId="0" applyFill="1" applyBorder="1" applyAlignment="1">
      <alignment horizontal="center" vertical="center" wrapText="1"/>
    </xf>
    <xf numFmtId="181" fontId="0" fillId="15" borderId="102" xfId="0" applyNumberFormat="1" applyFill="1" applyBorder="1" applyAlignment="1">
      <alignment horizontal="center" vertical="center" wrapText="1"/>
    </xf>
    <xf numFmtId="181" fontId="0" fillId="15" borderId="38" xfId="0" applyNumberFormat="1" applyFill="1" applyBorder="1" applyAlignment="1">
      <alignment horizontal="center" vertical="center" wrapText="1"/>
    </xf>
    <xf numFmtId="0" fontId="26" fillId="17" borderId="41" xfId="0" applyFont="1" applyFill="1" applyBorder="1" applyAlignment="1">
      <alignment horizontal="center" vertical="center"/>
    </xf>
    <xf numFmtId="0" fontId="26" fillId="17" borderId="42" xfId="0" applyFont="1" applyFill="1" applyBorder="1" applyAlignment="1">
      <alignment horizontal="center" vertical="center"/>
    </xf>
    <xf numFmtId="0" fontId="26" fillId="17" borderId="35" xfId="0" applyFont="1" applyFill="1" applyBorder="1" applyAlignment="1">
      <alignment horizontal="center" vertical="center"/>
    </xf>
    <xf numFmtId="0" fontId="26" fillId="17" borderId="45" xfId="0" applyFont="1" applyFill="1" applyBorder="1" applyAlignment="1">
      <alignment horizontal="center" vertical="center"/>
    </xf>
    <xf numFmtId="0" fontId="26" fillId="17" borderId="46" xfId="0" applyFont="1" applyFill="1" applyBorder="1" applyAlignment="1">
      <alignment horizontal="center" vertical="center"/>
    </xf>
    <xf numFmtId="0" fontId="26" fillId="17" borderId="40" xfId="0" applyFont="1" applyFill="1" applyBorder="1" applyAlignment="1">
      <alignment horizontal="center" vertical="center"/>
    </xf>
    <xf numFmtId="0" fontId="0" fillId="0" borderId="0" xfId="0" applyAlignment="1">
      <alignment horizontal="center" vertical="center"/>
    </xf>
    <xf numFmtId="178" fontId="26" fillId="0" borderId="0" xfId="0" applyNumberFormat="1" applyFont="1" applyAlignment="1">
      <alignment horizontal="center"/>
    </xf>
    <xf numFmtId="178" fontId="27" fillId="0" borderId="0" xfId="0" applyNumberFormat="1" applyFont="1" applyAlignment="1">
      <alignment horizontal="center"/>
    </xf>
    <xf numFmtId="0" fontId="0" fillId="0" borderId="0" xfId="0" applyAlignment="1">
      <alignment horizontal="left" vertical="center" wrapText="1"/>
    </xf>
    <xf numFmtId="178" fontId="33" fillId="0" borderId="144" xfId="0" applyNumberFormat="1" applyFont="1" applyBorder="1" applyAlignment="1">
      <alignment horizontal="center"/>
    </xf>
    <xf numFmtId="277" fontId="33" fillId="0" borderId="144" xfId="0" applyNumberFormat="1" applyFont="1" applyBorder="1" applyAlignment="1">
      <alignment horizontal="center"/>
    </xf>
    <xf numFmtId="0" fontId="0" fillId="0" borderId="101" xfId="0" applyBorder="1" applyAlignment="1">
      <alignment horizontal="center" vertical="center"/>
    </xf>
    <xf numFmtId="0" fontId="0" fillId="0" borderId="27" xfId="0" applyBorder="1" applyAlignment="1">
      <alignment horizontal="center" vertical="center"/>
    </xf>
    <xf numFmtId="0" fontId="0" fillId="0" borderId="57" xfId="0" applyBorder="1" applyAlignment="1">
      <alignment horizontal="center" vertical="center"/>
    </xf>
    <xf numFmtId="0" fontId="0" fillId="0" borderId="38" xfId="0" applyBorder="1" applyAlignment="1">
      <alignment horizontal="center" vertical="center"/>
    </xf>
    <xf numFmtId="172" fontId="33" fillId="0" borderId="156" xfId="0" applyNumberFormat="1" applyFont="1" applyBorder="1" applyAlignment="1">
      <alignment horizontal="center"/>
    </xf>
    <xf numFmtId="172" fontId="33" fillId="0" borderId="155" xfId="0" applyNumberFormat="1" applyFont="1" applyBorder="1" applyAlignment="1">
      <alignment horizontal="center"/>
    </xf>
    <xf numFmtId="276" fontId="33" fillId="0" borderId="157" xfId="0" applyNumberFormat="1" applyFont="1" applyBorder="1" applyAlignment="1">
      <alignment horizontal="center"/>
    </xf>
    <xf numFmtId="276" fontId="33" fillId="0" borderId="155" xfId="0" applyNumberFormat="1" applyFont="1" applyBorder="1" applyAlignment="1">
      <alignment horizontal="center"/>
    </xf>
    <xf numFmtId="0" fontId="0" fillId="0" borderId="20" xfId="0" applyBorder="1" applyAlignment="1">
      <alignment horizontal="center" vertical="center"/>
    </xf>
    <xf numFmtId="0" fontId="0" fillId="0" borderId="152" xfId="0" applyBorder="1" applyAlignment="1">
      <alignment horizontal="center" vertical="center"/>
    </xf>
    <xf numFmtId="175" fontId="0" fillId="0" borderId="0" xfId="0" applyNumberFormat="1" applyAlignment="1">
      <alignment horizontal="center" vertical="center"/>
    </xf>
    <xf numFmtId="172" fontId="0" fillId="0" borderId="0" xfId="0" applyNumberFormat="1" applyAlignment="1">
      <alignment horizontal="center" vertical="center"/>
    </xf>
    <xf numFmtId="175" fontId="33" fillId="0" borderId="59" xfId="0" applyNumberFormat="1" applyFont="1" applyBorder="1" applyAlignment="1">
      <alignment horizontal="center" vertical="center"/>
    </xf>
    <xf numFmtId="175" fontId="33" fillId="0" borderId="159" xfId="0" applyNumberFormat="1" applyFont="1" applyBorder="1" applyAlignment="1">
      <alignment horizontal="center" vertical="center"/>
    </xf>
    <xf numFmtId="175" fontId="33" fillId="0" borderId="160" xfId="0" applyNumberFormat="1" applyFont="1" applyBorder="1" applyAlignment="1">
      <alignment horizontal="center" vertical="center"/>
    </xf>
    <xf numFmtId="175" fontId="69" fillId="0" borderId="0" xfId="0" applyNumberFormat="1" applyFont="1" applyAlignment="1">
      <alignment horizontal="center" vertical="center"/>
    </xf>
    <xf numFmtId="172" fontId="69" fillId="0" borderId="144" xfId="0" applyNumberFormat="1" applyFont="1" applyBorder="1" applyAlignment="1">
      <alignment horizontal="center" vertical="center"/>
    </xf>
    <xf numFmtId="17" fontId="110" fillId="52" borderId="79" xfId="0" applyNumberFormat="1" applyFont="1" applyFill="1" applyBorder="1" applyAlignment="1">
      <alignment horizontal="center" vertical="center"/>
    </xf>
    <xf numFmtId="17" fontId="110" fillId="52" borderId="80" xfId="0" applyNumberFormat="1" applyFont="1" applyFill="1" applyBorder="1" applyAlignment="1">
      <alignment horizontal="center" vertical="center"/>
    </xf>
    <xf numFmtId="17" fontId="110" fillId="52" borderId="42" xfId="0" applyNumberFormat="1" applyFont="1" applyFill="1" applyBorder="1" applyAlignment="1">
      <alignment horizontal="center" vertical="center"/>
    </xf>
    <xf numFmtId="17" fontId="110" fillId="52" borderId="35" xfId="0" applyNumberFormat="1" applyFont="1" applyFill="1" applyBorder="1" applyAlignment="1">
      <alignment horizontal="center" vertical="center"/>
    </xf>
    <xf numFmtId="0" fontId="0" fillId="0" borderId="9" xfId="0" applyBorder="1" applyAlignment="1">
      <alignment horizontal="center" vertical="center"/>
    </xf>
    <xf numFmtId="0" fontId="0" fillId="0" borderId="98" xfId="0" applyBorder="1" applyAlignment="1">
      <alignment horizontal="center" vertical="center"/>
    </xf>
    <xf numFmtId="0" fontId="33" fillId="0" borderId="51" xfId="0" applyFont="1" applyBorder="1" applyAlignment="1">
      <alignment horizontal="center" vertical="center"/>
    </xf>
    <xf numFmtId="0" fontId="33" fillId="0" borderId="34" xfId="0" applyFont="1" applyBorder="1" applyAlignment="1">
      <alignment horizontal="center" vertical="center"/>
    </xf>
    <xf numFmtId="0" fontId="33" fillId="0" borderId="127" xfId="0" applyFont="1" applyBorder="1" applyAlignment="1">
      <alignment horizontal="center" vertical="center"/>
    </xf>
    <xf numFmtId="0" fontId="33" fillId="0" borderId="17" xfId="0" applyFont="1" applyBorder="1" applyAlignment="1">
      <alignment horizontal="center" vertical="center"/>
    </xf>
    <xf numFmtId="0" fontId="33" fillId="0" borderId="18" xfId="0" applyFont="1" applyBorder="1" applyAlignment="1">
      <alignment horizontal="center" vertical="center"/>
    </xf>
    <xf numFmtId="0" fontId="33" fillId="0" borderId="19" xfId="0" applyFont="1" applyBorder="1" applyAlignment="1">
      <alignment horizontal="center" vertical="center"/>
    </xf>
    <xf numFmtId="0" fontId="33" fillId="0" borderId="52" xfId="0" applyFont="1" applyBorder="1" applyAlignment="1">
      <alignment horizontal="center" vertical="center"/>
    </xf>
    <xf numFmtId="0" fontId="33" fillId="0" borderId="4" xfId="0" applyFont="1" applyBorder="1" applyAlignment="1">
      <alignment horizontal="center" vertical="center"/>
    </xf>
    <xf numFmtId="0" fontId="33" fillId="0" borderId="6" xfId="0" applyFont="1" applyBorder="1" applyAlignment="1">
      <alignment horizontal="center" vertical="center"/>
    </xf>
    <xf numFmtId="0" fontId="33" fillId="0" borderId="5" xfId="0" applyFont="1" applyBorder="1" applyAlignment="1">
      <alignment horizontal="center" vertical="center"/>
    </xf>
    <xf numFmtId="0" fontId="33" fillId="0" borderId="17" xfId="0" applyFont="1" applyBorder="1" applyAlignment="1">
      <alignment horizontal="center" vertical="center" wrapText="1"/>
    </xf>
    <xf numFmtId="0" fontId="33" fillId="0" borderId="19" xfId="0" applyFont="1" applyBorder="1" applyAlignment="1">
      <alignment horizontal="center" vertical="center" wrapText="1"/>
    </xf>
    <xf numFmtId="0" fontId="33" fillId="0" borderId="161" xfId="0" applyFont="1" applyBorder="1" applyAlignment="1">
      <alignment horizontal="center" vertical="center" wrapText="1"/>
    </xf>
    <xf numFmtId="0" fontId="33" fillId="0" borderId="18"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15" xfId="0" applyFont="1" applyBorder="1" applyAlignment="1">
      <alignment horizontal="center" vertical="center" wrapText="1"/>
    </xf>
    <xf numFmtId="0" fontId="33" fillId="0" borderId="16" xfId="0" applyFont="1" applyBorder="1" applyAlignment="1">
      <alignment horizontal="center" vertical="center" wrapText="1"/>
    </xf>
    <xf numFmtId="0" fontId="0" fillId="0" borderId="102" xfId="0" applyBorder="1" applyAlignment="1">
      <alignment horizontal="center" vertical="center"/>
    </xf>
    <xf numFmtId="268" fontId="0" fillId="0" borderId="0" xfId="0" applyNumberFormat="1" applyAlignment="1">
      <alignment horizontal="center"/>
    </xf>
    <xf numFmtId="268" fontId="26" fillId="0" borderId="0" xfId="0" applyNumberFormat="1" applyFont="1" applyAlignment="1">
      <alignment horizontal="center"/>
    </xf>
    <xf numFmtId="268" fontId="25" fillId="0" borderId="0" xfId="0" applyNumberFormat="1" applyFont="1" applyAlignment="1">
      <alignment horizontal="center"/>
    </xf>
    <xf numFmtId="268" fontId="0" fillId="2" borderId="0" xfId="0" applyNumberFormat="1" applyFill="1" applyAlignment="1">
      <alignment horizontal="center"/>
    </xf>
    <xf numFmtId="268" fontId="0" fillId="0" borderId="0" xfId="0" applyNumberFormat="1" applyAlignment="1">
      <alignment horizontal="center" vertical="center"/>
    </xf>
    <xf numFmtId="245" fontId="1" fillId="0" borderId="56" xfId="213" applyNumberFormat="1" applyBorder="1" applyAlignment="1">
      <alignment horizontal="center" vertical="center"/>
    </xf>
    <xf numFmtId="245" fontId="1" fillId="0" borderId="3" xfId="213" applyNumberFormat="1" applyBorder="1" applyAlignment="1">
      <alignment horizontal="center" vertical="center"/>
    </xf>
    <xf numFmtId="245" fontId="1" fillId="0" borderId="37" xfId="213" applyNumberFormat="1" applyBorder="1" applyAlignment="1">
      <alignment horizontal="center" vertical="center"/>
    </xf>
    <xf numFmtId="245" fontId="1" fillId="0" borderId="56" xfId="213" applyNumberFormat="1" applyBorder="1" applyAlignment="1">
      <alignment horizontal="center"/>
    </xf>
    <xf numFmtId="245" fontId="1" fillId="0" borderId="3" xfId="213" applyNumberFormat="1" applyBorder="1" applyAlignment="1">
      <alignment horizontal="center"/>
    </xf>
    <xf numFmtId="245" fontId="1" fillId="0" borderId="37" xfId="213" applyNumberFormat="1" applyBorder="1" applyAlignment="1">
      <alignment horizontal="center"/>
    </xf>
    <xf numFmtId="245" fontId="1" fillId="0" borderId="101" xfId="213" applyNumberFormat="1" applyBorder="1" applyAlignment="1">
      <alignment horizontal="center" vertical="center"/>
    </xf>
    <xf numFmtId="245" fontId="1" fillId="0" borderId="102" xfId="213" applyNumberFormat="1" applyBorder="1" applyAlignment="1">
      <alignment horizontal="center" vertical="center"/>
    </xf>
    <xf numFmtId="245" fontId="1" fillId="0" borderId="38" xfId="213" applyNumberFormat="1" applyBorder="1" applyAlignment="1">
      <alignment horizontal="center" vertical="center"/>
    </xf>
    <xf numFmtId="245" fontId="1" fillId="0" borderId="45" xfId="213" applyNumberFormat="1" applyBorder="1" applyAlignment="1">
      <alignment horizontal="center"/>
    </xf>
    <xf numFmtId="245" fontId="1" fillId="0" borderId="46" xfId="213" applyNumberFormat="1" applyBorder="1" applyAlignment="1">
      <alignment horizontal="center"/>
    </xf>
    <xf numFmtId="245" fontId="1" fillId="0" borderId="40" xfId="213" applyNumberFormat="1" applyBorder="1" applyAlignment="1">
      <alignment horizontal="center"/>
    </xf>
    <xf numFmtId="0" fontId="1" fillId="0" borderId="4" xfId="213" applyBorder="1" applyAlignment="1">
      <alignment horizontal="center" vertical="center"/>
    </xf>
    <xf numFmtId="0" fontId="1" fillId="0" borderId="6" xfId="213" applyBorder="1" applyAlignment="1">
      <alignment horizontal="center" vertical="center"/>
    </xf>
    <xf numFmtId="0" fontId="1" fillId="0" borderId="12" xfId="213" applyBorder="1" applyAlignment="1">
      <alignment horizontal="center" vertical="center"/>
    </xf>
    <xf numFmtId="0" fontId="1" fillId="0" borderId="33" xfId="213" applyBorder="1" applyAlignment="1">
      <alignment horizontal="center" vertical="center"/>
    </xf>
    <xf numFmtId="0" fontId="1" fillId="0" borderId="14" xfId="213" applyBorder="1" applyAlignment="1">
      <alignment horizontal="center" vertical="center"/>
    </xf>
    <xf numFmtId="0" fontId="1" fillId="0" borderId="15" xfId="213" applyBorder="1" applyAlignment="1">
      <alignment horizontal="center" vertical="center"/>
    </xf>
    <xf numFmtId="246" fontId="1" fillId="0" borderId="6" xfId="213" applyNumberFormat="1" applyBorder="1" applyAlignment="1">
      <alignment horizontal="center" vertical="center"/>
    </xf>
    <xf numFmtId="246" fontId="1" fillId="0" borderId="5" xfId="213" applyNumberFormat="1" applyBorder="1" applyAlignment="1">
      <alignment horizontal="center" vertical="center"/>
    </xf>
    <xf numFmtId="247" fontId="1" fillId="0" borderId="6" xfId="213" applyNumberFormat="1" applyBorder="1" applyAlignment="1">
      <alignment horizontal="center"/>
    </xf>
    <xf numFmtId="247" fontId="1" fillId="0" borderId="5" xfId="213" applyNumberFormat="1" applyBorder="1" applyAlignment="1">
      <alignment horizontal="center"/>
    </xf>
    <xf numFmtId="246" fontId="1" fillId="0" borderId="33" xfId="213" applyNumberFormat="1" applyBorder="1" applyAlignment="1">
      <alignment horizontal="center" vertical="center"/>
    </xf>
    <xf numFmtId="246" fontId="1" fillId="0" borderId="13" xfId="213" applyNumberFormat="1" applyBorder="1" applyAlignment="1">
      <alignment horizontal="center" vertical="center"/>
    </xf>
    <xf numFmtId="247" fontId="1" fillId="0" borderId="33" xfId="213" applyNumberFormat="1" applyBorder="1" applyAlignment="1">
      <alignment horizontal="center"/>
    </xf>
    <xf numFmtId="247" fontId="1" fillId="0" borderId="13" xfId="213" applyNumberFormat="1" applyBorder="1" applyAlignment="1">
      <alignment horizontal="center"/>
    </xf>
    <xf numFmtId="248" fontId="1" fillId="0" borderId="33" xfId="213" applyNumberFormat="1" applyBorder="1" applyAlignment="1">
      <alignment horizontal="center"/>
    </xf>
    <xf numFmtId="248" fontId="1" fillId="0" borderId="13" xfId="213" applyNumberFormat="1" applyBorder="1" applyAlignment="1">
      <alignment horizontal="center"/>
    </xf>
    <xf numFmtId="249" fontId="1" fillId="0" borderId="33" xfId="213" applyNumberFormat="1" applyBorder="1" applyAlignment="1">
      <alignment horizontal="center"/>
    </xf>
    <xf numFmtId="249" fontId="1" fillId="0" borderId="13" xfId="213" applyNumberFormat="1" applyBorder="1" applyAlignment="1">
      <alignment horizontal="center"/>
    </xf>
    <xf numFmtId="246" fontId="1" fillId="0" borderId="15" xfId="213" applyNumberFormat="1" applyBorder="1" applyAlignment="1">
      <alignment horizontal="center" vertical="center"/>
    </xf>
    <xf numFmtId="246" fontId="1" fillId="0" borderId="16" xfId="213" applyNumberFormat="1" applyBorder="1" applyAlignment="1">
      <alignment horizontal="center" vertical="center"/>
    </xf>
    <xf numFmtId="249" fontId="1" fillId="0" borderId="15" xfId="213" applyNumberFormat="1" applyBorder="1" applyAlignment="1">
      <alignment horizontal="center"/>
    </xf>
    <xf numFmtId="249" fontId="1" fillId="0" borderId="16" xfId="213" applyNumberFormat="1" applyBorder="1" applyAlignment="1">
      <alignment horizontal="center"/>
    </xf>
    <xf numFmtId="245" fontId="1" fillId="0" borderId="9" xfId="213" applyNumberFormat="1" applyBorder="1" applyAlignment="1">
      <alignment horizontal="center" vertical="center"/>
    </xf>
    <xf numFmtId="245" fontId="1" fillId="0" borderId="55" xfId="213" applyNumberFormat="1" applyBorder="1" applyAlignment="1">
      <alignment horizontal="center" vertical="center"/>
    </xf>
    <xf numFmtId="245" fontId="1" fillId="0" borderId="10" xfId="213" applyNumberFormat="1" applyBorder="1" applyAlignment="1">
      <alignment horizontal="center" vertical="center"/>
    </xf>
    <xf numFmtId="245" fontId="1" fillId="0" borderId="9" xfId="213" applyNumberFormat="1" applyBorder="1" applyAlignment="1">
      <alignment horizontal="center"/>
    </xf>
    <xf numFmtId="245" fontId="1" fillId="0" borderId="55" xfId="213" applyNumberFormat="1" applyBorder="1" applyAlignment="1">
      <alignment horizontal="center"/>
    </xf>
    <xf numFmtId="245" fontId="1" fillId="0" borderId="10" xfId="213" applyNumberFormat="1" applyBorder="1" applyAlignment="1">
      <alignment horizontal="center"/>
    </xf>
    <xf numFmtId="242" fontId="1" fillId="0" borderId="56" xfId="213" applyNumberFormat="1" applyBorder="1" applyAlignment="1">
      <alignment horizontal="center" vertical="center"/>
    </xf>
    <xf numFmtId="242" fontId="1" fillId="0" borderId="3" xfId="213" applyNumberFormat="1" applyBorder="1" applyAlignment="1">
      <alignment horizontal="center" vertical="center"/>
    </xf>
    <xf numFmtId="242" fontId="1" fillId="0" borderId="37" xfId="213" applyNumberFormat="1" applyBorder="1" applyAlignment="1">
      <alignment horizontal="center" vertical="center"/>
    </xf>
    <xf numFmtId="244" fontId="1" fillId="0" borderId="98" xfId="213" applyNumberFormat="1" applyBorder="1" applyAlignment="1">
      <alignment horizontal="center"/>
    </xf>
    <xf numFmtId="244" fontId="1" fillId="0" borderId="99" xfId="213" applyNumberFormat="1" applyBorder="1" applyAlignment="1">
      <alignment horizontal="center"/>
    </xf>
    <xf numFmtId="244" fontId="1" fillId="0" borderId="100" xfId="213" applyNumberFormat="1" applyBorder="1" applyAlignment="1">
      <alignment horizontal="center"/>
    </xf>
    <xf numFmtId="243" fontId="1" fillId="0" borderId="56" xfId="213" applyNumberFormat="1" applyBorder="1" applyAlignment="1">
      <alignment horizontal="center"/>
    </xf>
    <xf numFmtId="243" fontId="1" fillId="0" borderId="3" xfId="213" applyNumberFormat="1" applyBorder="1" applyAlignment="1">
      <alignment horizontal="center"/>
    </xf>
    <xf numFmtId="243" fontId="1" fillId="0" borderId="37" xfId="213" applyNumberFormat="1" applyBorder="1" applyAlignment="1">
      <alignment horizontal="center"/>
    </xf>
    <xf numFmtId="242" fontId="1" fillId="0" borderId="45" xfId="213" applyNumberFormat="1" applyBorder="1" applyAlignment="1">
      <alignment horizontal="center" vertical="center"/>
    </xf>
    <xf numFmtId="242" fontId="1" fillId="0" borderId="46" xfId="213" applyNumberFormat="1" applyBorder="1" applyAlignment="1">
      <alignment horizontal="center" vertical="center"/>
    </xf>
    <xf numFmtId="242" fontId="1" fillId="0" borderId="40" xfId="213" applyNumberFormat="1" applyBorder="1" applyAlignment="1">
      <alignment horizontal="center" vertical="center"/>
    </xf>
    <xf numFmtId="244" fontId="1" fillId="0" borderId="45" xfId="213" applyNumberFormat="1" applyBorder="1" applyAlignment="1">
      <alignment horizontal="center"/>
    </xf>
    <xf numFmtId="244" fontId="1" fillId="0" borderId="46" xfId="213" applyNumberFormat="1" applyBorder="1" applyAlignment="1">
      <alignment horizontal="center"/>
    </xf>
    <xf numFmtId="244" fontId="1" fillId="0" borderId="40" xfId="213" applyNumberFormat="1" applyBorder="1" applyAlignment="1">
      <alignment horizontal="center"/>
    </xf>
    <xf numFmtId="241" fontId="1" fillId="0" borderId="45" xfId="213" applyNumberFormat="1" applyBorder="1" applyAlignment="1">
      <alignment horizontal="center" vertical="center"/>
    </xf>
    <xf numFmtId="241" fontId="1" fillId="0" borderId="46" xfId="213" applyNumberFormat="1" applyBorder="1" applyAlignment="1">
      <alignment horizontal="center" vertical="center"/>
    </xf>
    <xf numFmtId="241" fontId="1" fillId="0" borderId="40" xfId="213" applyNumberFormat="1" applyBorder="1" applyAlignment="1">
      <alignment horizontal="center" vertical="center"/>
    </xf>
    <xf numFmtId="241" fontId="1" fillId="0" borderId="45" xfId="213" applyNumberFormat="1" applyBorder="1" applyAlignment="1">
      <alignment horizontal="center"/>
    </xf>
    <xf numFmtId="241" fontId="1" fillId="0" borderId="46" xfId="213" applyNumberFormat="1" applyBorder="1" applyAlignment="1">
      <alignment horizontal="center"/>
    </xf>
    <xf numFmtId="241" fontId="1" fillId="0" borderId="40" xfId="213" applyNumberFormat="1" applyBorder="1" applyAlignment="1">
      <alignment horizontal="center"/>
    </xf>
    <xf numFmtId="242" fontId="1" fillId="0" borderId="9" xfId="213" applyNumberFormat="1" applyBorder="1" applyAlignment="1">
      <alignment horizontal="center" vertical="center"/>
    </xf>
    <xf numFmtId="242" fontId="1" fillId="0" borderId="55" xfId="213" applyNumberFormat="1" applyBorder="1" applyAlignment="1">
      <alignment horizontal="center" vertical="center"/>
    </xf>
    <xf numFmtId="242" fontId="1" fillId="0" borderId="10" xfId="213" applyNumberFormat="1" applyBorder="1" applyAlignment="1">
      <alignment horizontal="center" vertical="center"/>
    </xf>
    <xf numFmtId="243" fontId="1" fillId="0" borderId="41" xfId="213" applyNumberFormat="1" applyBorder="1" applyAlignment="1">
      <alignment horizontal="center"/>
    </xf>
    <xf numFmtId="243" fontId="1" fillId="0" borderId="42" xfId="213" applyNumberFormat="1" applyBorder="1" applyAlignment="1">
      <alignment horizontal="center"/>
    </xf>
    <xf numFmtId="243" fontId="1" fillId="0" borderId="35" xfId="213" applyNumberFormat="1" applyBorder="1" applyAlignment="1">
      <alignment horizontal="center"/>
    </xf>
    <xf numFmtId="242" fontId="1" fillId="0" borderId="56" xfId="213" applyNumberFormat="1" applyBorder="1" applyAlignment="1">
      <alignment horizontal="center" vertical="center" wrapText="1"/>
    </xf>
    <xf numFmtId="242" fontId="1" fillId="0" borderId="3" xfId="213" applyNumberFormat="1" applyBorder="1" applyAlignment="1">
      <alignment horizontal="center" vertical="center" wrapText="1"/>
    </xf>
    <xf numFmtId="242" fontId="1" fillId="0" borderId="37" xfId="213" applyNumberFormat="1" applyBorder="1" applyAlignment="1">
      <alignment horizontal="center" vertical="center" wrapText="1"/>
    </xf>
    <xf numFmtId="242" fontId="1" fillId="0" borderId="98" xfId="213" applyNumberFormat="1" applyBorder="1" applyAlignment="1">
      <alignment horizontal="center"/>
    </xf>
    <xf numFmtId="242" fontId="1" fillId="0" borderId="99" xfId="213" applyNumberFormat="1" applyBorder="1" applyAlignment="1">
      <alignment horizontal="center"/>
    </xf>
    <xf numFmtId="242" fontId="1" fillId="0" borderId="100" xfId="213" applyNumberFormat="1" applyBorder="1" applyAlignment="1">
      <alignment horizontal="center"/>
    </xf>
    <xf numFmtId="241" fontId="1" fillId="0" borderId="56" xfId="213" applyNumberFormat="1" applyBorder="1" applyAlignment="1">
      <alignment horizontal="center" vertical="center"/>
    </xf>
    <xf numFmtId="241" fontId="1" fillId="0" borderId="3" xfId="213" applyNumberFormat="1" applyBorder="1" applyAlignment="1">
      <alignment horizontal="center" vertical="center"/>
    </xf>
    <xf numFmtId="241" fontId="1" fillId="0" borderId="37" xfId="213" applyNumberFormat="1" applyBorder="1" applyAlignment="1">
      <alignment horizontal="center" vertical="center"/>
    </xf>
    <xf numFmtId="241" fontId="1" fillId="0" borderId="56" xfId="213" applyNumberFormat="1" applyBorder="1" applyAlignment="1">
      <alignment horizontal="center"/>
    </xf>
    <xf numFmtId="241" fontId="1" fillId="0" borderId="3" xfId="213" applyNumberFormat="1" applyBorder="1" applyAlignment="1">
      <alignment horizontal="center"/>
    </xf>
    <xf numFmtId="241" fontId="1" fillId="0" borderId="37" xfId="213" applyNumberFormat="1" applyBorder="1" applyAlignment="1">
      <alignment horizontal="center"/>
    </xf>
    <xf numFmtId="242" fontId="1" fillId="0" borderId="56" xfId="213" applyNumberFormat="1" applyBorder="1" applyAlignment="1">
      <alignment horizontal="center"/>
    </xf>
    <xf numFmtId="242" fontId="1" fillId="0" borderId="3" xfId="213" applyNumberFormat="1" applyBorder="1" applyAlignment="1">
      <alignment horizontal="center"/>
    </xf>
    <xf numFmtId="242" fontId="1" fillId="0" borderId="37" xfId="213" applyNumberFormat="1" applyBorder="1" applyAlignment="1">
      <alignment horizontal="center"/>
    </xf>
    <xf numFmtId="241" fontId="1" fillId="0" borderId="96" xfId="213" applyNumberFormat="1" applyBorder="1" applyAlignment="1">
      <alignment horizontal="center"/>
    </xf>
    <xf numFmtId="241" fontId="1" fillId="0" borderId="97" xfId="213" applyNumberFormat="1" applyBorder="1" applyAlignment="1">
      <alignment horizontal="center"/>
    </xf>
    <xf numFmtId="241" fontId="1" fillId="0" borderId="36" xfId="213" applyNumberFormat="1" applyBorder="1" applyAlignment="1">
      <alignment horizontal="center"/>
    </xf>
    <xf numFmtId="189" fontId="11" fillId="0" borderId="31" xfId="0" applyNumberFormat="1" applyFont="1" applyBorder="1" applyAlignment="1">
      <alignment horizontal="center" vertical="center"/>
    </xf>
    <xf numFmtId="189" fontId="11" fillId="0" borderId="30" xfId="0" applyNumberFormat="1" applyFont="1" applyBorder="1" applyAlignment="1">
      <alignment horizontal="center" vertical="center"/>
    </xf>
    <xf numFmtId="0" fontId="11" fillId="0" borderId="31" xfId="0" applyFont="1" applyBorder="1" applyAlignment="1">
      <alignment horizontal="center" vertical="center"/>
    </xf>
    <xf numFmtId="0" fontId="11" fillId="0" borderId="30" xfId="0" applyFont="1" applyBorder="1" applyAlignment="1">
      <alignment horizontal="center" vertical="center"/>
    </xf>
    <xf numFmtId="235" fontId="26" fillId="0" borderId="79" xfId="213" applyNumberFormat="1" applyFont="1" applyBorder="1" applyAlignment="1">
      <alignment horizontal="center" vertical="center"/>
    </xf>
    <xf numFmtId="235" fontId="26" fillId="0" borderId="80" xfId="213" applyNumberFormat="1" applyFont="1" applyBorder="1" applyAlignment="1">
      <alignment horizontal="center" vertical="center"/>
    </xf>
    <xf numFmtId="235" fontId="26" fillId="0" borderId="81" xfId="213" applyNumberFormat="1" applyFont="1" applyBorder="1" applyAlignment="1">
      <alignment horizontal="center" vertical="center"/>
    </xf>
    <xf numFmtId="178" fontId="1" fillId="37" borderId="79" xfId="213" applyNumberFormat="1" applyFill="1" applyBorder="1" applyAlignment="1">
      <alignment horizontal="center"/>
    </xf>
    <xf numFmtId="178" fontId="1" fillId="37" borderId="80" xfId="213" applyNumberFormat="1" applyFill="1" applyBorder="1" applyAlignment="1">
      <alignment horizontal="center"/>
    </xf>
    <xf numFmtId="178" fontId="1" fillId="37" borderId="81" xfId="213" applyNumberFormat="1" applyFill="1" applyBorder="1" applyAlignment="1">
      <alignment horizontal="center"/>
    </xf>
    <xf numFmtId="238" fontId="1" fillId="0" borderId="88" xfId="213" applyNumberFormat="1" applyBorder="1" applyAlignment="1">
      <alignment horizontal="center" vertical="center"/>
    </xf>
    <xf numFmtId="238" fontId="1" fillId="0" borderId="89" xfId="213" applyNumberFormat="1" applyBorder="1" applyAlignment="1">
      <alignment horizontal="center" vertical="center"/>
    </xf>
    <xf numFmtId="178" fontId="26" fillId="38" borderId="90" xfId="213" applyNumberFormat="1" applyFont="1" applyFill="1" applyBorder="1" applyAlignment="1">
      <alignment horizontal="center" vertical="center"/>
    </xf>
    <xf numFmtId="178" fontId="26" fillId="38" borderId="91" xfId="213" applyNumberFormat="1" applyFont="1" applyFill="1" applyBorder="1" applyAlignment="1">
      <alignment horizontal="center" vertical="center"/>
    </xf>
    <xf numFmtId="178" fontId="26" fillId="38" borderId="92" xfId="213" applyNumberFormat="1" applyFont="1" applyFill="1" applyBorder="1" applyAlignment="1">
      <alignment horizontal="center" vertical="center"/>
    </xf>
    <xf numFmtId="178" fontId="26" fillId="38" borderId="42" xfId="213" applyNumberFormat="1" applyFont="1" applyFill="1" applyBorder="1" applyAlignment="1">
      <alignment horizontal="center"/>
    </xf>
    <xf numFmtId="178" fontId="26" fillId="38" borderId="35" xfId="213" applyNumberFormat="1" applyFont="1" applyFill="1" applyBorder="1" applyAlignment="1">
      <alignment horizontal="center"/>
    </xf>
    <xf numFmtId="241" fontId="1" fillId="0" borderId="9" xfId="213" applyNumberFormat="1" applyBorder="1" applyAlignment="1">
      <alignment horizontal="center" vertical="center"/>
    </xf>
    <xf numFmtId="241" fontId="1" fillId="0" borderId="55" xfId="213" applyNumberFormat="1" applyBorder="1" applyAlignment="1">
      <alignment horizontal="center" vertical="center"/>
    </xf>
    <xf numFmtId="241" fontId="1" fillId="0" borderId="10" xfId="213" applyNumberFormat="1" applyBorder="1" applyAlignment="1">
      <alignment horizontal="center" vertical="center"/>
    </xf>
    <xf numFmtId="241" fontId="1" fillId="0" borderId="9" xfId="213" applyNumberFormat="1" applyBorder="1" applyAlignment="1">
      <alignment horizontal="center"/>
    </xf>
    <xf numFmtId="241" fontId="1" fillId="0" borderId="55" xfId="213" applyNumberFormat="1" applyBorder="1" applyAlignment="1">
      <alignment horizontal="center"/>
    </xf>
    <xf numFmtId="241" fontId="1" fillId="0" borderId="10" xfId="213" applyNumberFormat="1" applyBorder="1" applyAlignment="1">
      <alignment horizontal="center"/>
    </xf>
  </cellXfs>
  <cellStyles count="214">
    <cellStyle name="Euro" xfId="1" xr:uid="{00000000-0005-0000-0000-000000000000}"/>
    <cellStyle name="Euro 2" xfId="2" xr:uid="{00000000-0005-0000-0000-000001000000}"/>
    <cellStyle name="Euro 3" xfId="3" xr:uid="{00000000-0005-0000-0000-000002000000}"/>
    <cellStyle name="Euro 4" xfId="4" xr:uid="{00000000-0005-0000-0000-000003000000}"/>
    <cellStyle name="Euro 5" xfId="5" xr:uid="{00000000-0005-0000-0000-000004000000}"/>
    <cellStyle name="Euro 6" xfId="6" xr:uid="{00000000-0005-0000-0000-000005000000}"/>
    <cellStyle name="Euro 7" xfId="7" xr:uid="{00000000-0005-0000-0000-000006000000}"/>
    <cellStyle name="Euro 8" xfId="8" xr:uid="{00000000-0005-0000-0000-000007000000}"/>
    <cellStyle name="Euro 9" xfId="9" xr:uid="{00000000-0005-0000-0000-000008000000}"/>
    <cellStyle name="Hipervínculo 2" xfId="10" xr:uid="{00000000-0005-0000-0000-000009000000}"/>
    <cellStyle name="Millares" xfId="211" builtinId="3"/>
    <cellStyle name="Millares 10" xfId="11" xr:uid="{00000000-0005-0000-0000-00000B000000}"/>
    <cellStyle name="Millares 11" xfId="12" xr:uid="{00000000-0005-0000-0000-00000C000000}"/>
    <cellStyle name="Millares 12" xfId="13" xr:uid="{00000000-0005-0000-0000-00000D000000}"/>
    <cellStyle name="Millares 13" xfId="14" xr:uid="{00000000-0005-0000-0000-00000E000000}"/>
    <cellStyle name="Millares 14" xfId="15" xr:uid="{00000000-0005-0000-0000-00000F000000}"/>
    <cellStyle name="Millares 15" xfId="16" xr:uid="{00000000-0005-0000-0000-000010000000}"/>
    <cellStyle name="Millares 16" xfId="17" xr:uid="{00000000-0005-0000-0000-000011000000}"/>
    <cellStyle name="Millares 17" xfId="18" xr:uid="{00000000-0005-0000-0000-000012000000}"/>
    <cellStyle name="Millares 18" xfId="19" xr:uid="{00000000-0005-0000-0000-000013000000}"/>
    <cellStyle name="Millares 19" xfId="20" xr:uid="{00000000-0005-0000-0000-000014000000}"/>
    <cellStyle name="Millares 2" xfId="21" xr:uid="{00000000-0005-0000-0000-000015000000}"/>
    <cellStyle name="Millares 2 2" xfId="22" xr:uid="{00000000-0005-0000-0000-000016000000}"/>
    <cellStyle name="Millares 2 3" xfId="23" xr:uid="{00000000-0005-0000-0000-000017000000}"/>
    <cellStyle name="Millares 2 4" xfId="24" xr:uid="{00000000-0005-0000-0000-000018000000}"/>
    <cellStyle name="Millares 20" xfId="25" xr:uid="{00000000-0005-0000-0000-000019000000}"/>
    <cellStyle name="Millares 21" xfId="26" xr:uid="{00000000-0005-0000-0000-00001A000000}"/>
    <cellStyle name="Millares 22" xfId="27" xr:uid="{00000000-0005-0000-0000-00001B000000}"/>
    <cellStyle name="Millares 23" xfId="28" xr:uid="{00000000-0005-0000-0000-00001C000000}"/>
    <cellStyle name="Millares 24" xfId="29" xr:uid="{00000000-0005-0000-0000-00001D000000}"/>
    <cellStyle name="Millares 25" xfId="30" xr:uid="{00000000-0005-0000-0000-00001E000000}"/>
    <cellStyle name="Millares 26" xfId="31" xr:uid="{00000000-0005-0000-0000-00001F000000}"/>
    <cellStyle name="Millares 27" xfId="32" xr:uid="{00000000-0005-0000-0000-000020000000}"/>
    <cellStyle name="Millares 28" xfId="33" xr:uid="{00000000-0005-0000-0000-000021000000}"/>
    <cellStyle name="Millares 29" xfId="34" xr:uid="{00000000-0005-0000-0000-000022000000}"/>
    <cellStyle name="Millares 3" xfId="35" xr:uid="{00000000-0005-0000-0000-000023000000}"/>
    <cellStyle name="Millares 30" xfId="36" xr:uid="{00000000-0005-0000-0000-000024000000}"/>
    <cellStyle name="Millares 31" xfId="37" xr:uid="{00000000-0005-0000-0000-000025000000}"/>
    <cellStyle name="Millares 32" xfId="38" xr:uid="{00000000-0005-0000-0000-000026000000}"/>
    <cellStyle name="Millares 33" xfId="39" xr:uid="{00000000-0005-0000-0000-000027000000}"/>
    <cellStyle name="Millares 34" xfId="40" xr:uid="{00000000-0005-0000-0000-000028000000}"/>
    <cellStyle name="Millares 35" xfId="41" xr:uid="{00000000-0005-0000-0000-000029000000}"/>
    <cellStyle name="Millares 36" xfId="208" xr:uid="{00000000-0005-0000-0000-00002A000000}"/>
    <cellStyle name="Millares 4" xfId="42" xr:uid="{00000000-0005-0000-0000-00002B000000}"/>
    <cellStyle name="Millares 5" xfId="43" xr:uid="{00000000-0005-0000-0000-00002C000000}"/>
    <cellStyle name="Millares 6" xfId="44" xr:uid="{00000000-0005-0000-0000-00002D000000}"/>
    <cellStyle name="Millares 7" xfId="45" xr:uid="{00000000-0005-0000-0000-00002E000000}"/>
    <cellStyle name="Millares 8" xfId="46" xr:uid="{00000000-0005-0000-0000-00002F000000}"/>
    <cellStyle name="Millares 9" xfId="47" xr:uid="{00000000-0005-0000-0000-000030000000}"/>
    <cellStyle name="Moneda" xfId="212" builtinId="4"/>
    <cellStyle name="Moneda 15" xfId="48" xr:uid="{00000000-0005-0000-0000-000032000000}"/>
    <cellStyle name="Moneda 2" xfId="49" xr:uid="{00000000-0005-0000-0000-000033000000}"/>
    <cellStyle name="Moneda 2 10" xfId="50" xr:uid="{00000000-0005-0000-0000-000034000000}"/>
    <cellStyle name="Moneda 2 11" xfId="51" xr:uid="{00000000-0005-0000-0000-000035000000}"/>
    <cellStyle name="Moneda 2 12" xfId="52" xr:uid="{00000000-0005-0000-0000-000036000000}"/>
    <cellStyle name="Moneda 2 13" xfId="53" xr:uid="{00000000-0005-0000-0000-000037000000}"/>
    <cellStyle name="Moneda 2 14" xfId="54" xr:uid="{00000000-0005-0000-0000-000038000000}"/>
    <cellStyle name="Moneda 2 15" xfId="55" xr:uid="{00000000-0005-0000-0000-000039000000}"/>
    <cellStyle name="Moneda 2 16" xfId="56" xr:uid="{00000000-0005-0000-0000-00003A000000}"/>
    <cellStyle name="Moneda 2 17" xfId="57" xr:uid="{00000000-0005-0000-0000-00003B000000}"/>
    <cellStyle name="Moneda 2 18" xfId="58" xr:uid="{00000000-0005-0000-0000-00003C000000}"/>
    <cellStyle name="Moneda 2 2" xfId="59" xr:uid="{00000000-0005-0000-0000-00003D000000}"/>
    <cellStyle name="Moneda 2 3" xfId="60" xr:uid="{00000000-0005-0000-0000-00003E000000}"/>
    <cellStyle name="Moneda 2 4" xfId="61" xr:uid="{00000000-0005-0000-0000-00003F000000}"/>
    <cellStyle name="Moneda 2 5" xfId="62" xr:uid="{00000000-0005-0000-0000-000040000000}"/>
    <cellStyle name="Moneda 2 6" xfId="63" xr:uid="{00000000-0005-0000-0000-000041000000}"/>
    <cellStyle name="Moneda 2 7" xfId="64" xr:uid="{00000000-0005-0000-0000-000042000000}"/>
    <cellStyle name="Moneda 2 8" xfId="65" xr:uid="{00000000-0005-0000-0000-000043000000}"/>
    <cellStyle name="Moneda 2 9" xfId="66" xr:uid="{00000000-0005-0000-0000-000044000000}"/>
    <cellStyle name="Moneda 3" xfId="67" xr:uid="{00000000-0005-0000-0000-000045000000}"/>
    <cellStyle name="Moneda 3 2" xfId="68" xr:uid="{00000000-0005-0000-0000-000046000000}"/>
    <cellStyle name="Moneda 3 3" xfId="69" xr:uid="{00000000-0005-0000-0000-000047000000}"/>
    <cellStyle name="Moneda 3 4" xfId="70" xr:uid="{00000000-0005-0000-0000-000048000000}"/>
    <cellStyle name="Moneda 3 5" xfId="71" xr:uid="{00000000-0005-0000-0000-000049000000}"/>
    <cellStyle name="Moneda 3 6" xfId="72" xr:uid="{00000000-0005-0000-0000-00004A000000}"/>
    <cellStyle name="Moneda 4" xfId="73" xr:uid="{00000000-0005-0000-0000-00004B000000}"/>
    <cellStyle name="Moneda 5" xfId="74" xr:uid="{00000000-0005-0000-0000-00004C000000}"/>
    <cellStyle name="Normal" xfId="0" builtinId="0"/>
    <cellStyle name="Normal 10" xfId="75" xr:uid="{00000000-0005-0000-0000-00004E000000}"/>
    <cellStyle name="Normal 11" xfId="76" xr:uid="{00000000-0005-0000-0000-00004F000000}"/>
    <cellStyle name="Normal 11 2" xfId="77" xr:uid="{00000000-0005-0000-0000-000050000000}"/>
    <cellStyle name="Normal 12" xfId="78" xr:uid="{00000000-0005-0000-0000-000051000000}"/>
    <cellStyle name="Normal 13" xfId="79" xr:uid="{00000000-0005-0000-0000-000052000000}"/>
    <cellStyle name="Normal 14" xfId="80" xr:uid="{00000000-0005-0000-0000-000053000000}"/>
    <cellStyle name="Normal 15" xfId="81" xr:uid="{00000000-0005-0000-0000-000054000000}"/>
    <cellStyle name="Normal 16" xfId="82" xr:uid="{00000000-0005-0000-0000-000055000000}"/>
    <cellStyle name="Normal 17" xfId="83" xr:uid="{00000000-0005-0000-0000-000056000000}"/>
    <cellStyle name="Normal 18" xfId="84" xr:uid="{00000000-0005-0000-0000-000057000000}"/>
    <cellStyle name="Normal 19" xfId="85" xr:uid="{00000000-0005-0000-0000-000058000000}"/>
    <cellStyle name="Normal 2" xfId="86" xr:uid="{00000000-0005-0000-0000-000059000000}"/>
    <cellStyle name="Normal 2 10" xfId="87" xr:uid="{00000000-0005-0000-0000-00005A000000}"/>
    <cellStyle name="Normal 2 11" xfId="88" xr:uid="{00000000-0005-0000-0000-00005B000000}"/>
    <cellStyle name="Normal 2 12" xfId="89" xr:uid="{00000000-0005-0000-0000-00005C000000}"/>
    <cellStyle name="Normal 2 13" xfId="90" xr:uid="{00000000-0005-0000-0000-00005D000000}"/>
    <cellStyle name="Normal 2 14" xfId="91" xr:uid="{00000000-0005-0000-0000-00005E000000}"/>
    <cellStyle name="Normal 2 15" xfId="92" xr:uid="{00000000-0005-0000-0000-00005F000000}"/>
    <cellStyle name="Normal 2 16" xfId="93" xr:uid="{00000000-0005-0000-0000-000060000000}"/>
    <cellStyle name="Normal 2 17" xfId="94" xr:uid="{00000000-0005-0000-0000-000061000000}"/>
    <cellStyle name="Normal 2 18" xfId="95" xr:uid="{00000000-0005-0000-0000-000062000000}"/>
    <cellStyle name="Normal 2 2" xfId="96" xr:uid="{00000000-0005-0000-0000-000063000000}"/>
    <cellStyle name="Normal 2 2 10" xfId="97" xr:uid="{00000000-0005-0000-0000-000064000000}"/>
    <cellStyle name="Normal 2 2 11" xfId="98" xr:uid="{00000000-0005-0000-0000-000065000000}"/>
    <cellStyle name="Normal 2 2 12" xfId="99" xr:uid="{00000000-0005-0000-0000-000066000000}"/>
    <cellStyle name="Normal 2 2 13" xfId="100" xr:uid="{00000000-0005-0000-0000-000067000000}"/>
    <cellStyle name="Normal 2 2 14" xfId="101" xr:uid="{00000000-0005-0000-0000-000068000000}"/>
    <cellStyle name="Normal 2 2 15" xfId="102" xr:uid="{00000000-0005-0000-0000-000069000000}"/>
    <cellStyle name="Normal 2 2 16" xfId="103" xr:uid="{00000000-0005-0000-0000-00006A000000}"/>
    <cellStyle name="Normal 2 2 17" xfId="104" xr:uid="{00000000-0005-0000-0000-00006B000000}"/>
    <cellStyle name="Normal 2 2 18" xfId="105" xr:uid="{00000000-0005-0000-0000-00006C000000}"/>
    <cellStyle name="Normal 2 2 2" xfId="106" xr:uid="{00000000-0005-0000-0000-00006D000000}"/>
    <cellStyle name="Normal 2 2 3" xfId="107" xr:uid="{00000000-0005-0000-0000-00006E000000}"/>
    <cellStyle name="Normal 2 2 4" xfId="108" xr:uid="{00000000-0005-0000-0000-00006F000000}"/>
    <cellStyle name="Normal 2 2 5" xfId="109" xr:uid="{00000000-0005-0000-0000-000070000000}"/>
    <cellStyle name="Normal 2 2 6" xfId="110" xr:uid="{00000000-0005-0000-0000-000071000000}"/>
    <cellStyle name="Normal 2 2 7" xfId="111" xr:uid="{00000000-0005-0000-0000-000072000000}"/>
    <cellStyle name="Normal 2 2 8" xfId="112" xr:uid="{00000000-0005-0000-0000-000073000000}"/>
    <cellStyle name="Normal 2 2 9" xfId="113" xr:uid="{00000000-0005-0000-0000-000074000000}"/>
    <cellStyle name="Normal 2 3" xfId="114" xr:uid="{00000000-0005-0000-0000-000075000000}"/>
    <cellStyle name="Normal 2 4" xfId="115" xr:uid="{00000000-0005-0000-0000-000076000000}"/>
    <cellStyle name="Normal 2 5" xfId="116" xr:uid="{00000000-0005-0000-0000-000077000000}"/>
    <cellStyle name="Normal 2 6" xfId="117" xr:uid="{00000000-0005-0000-0000-000078000000}"/>
    <cellStyle name="Normal 2 7" xfId="118" xr:uid="{00000000-0005-0000-0000-000079000000}"/>
    <cellStyle name="Normal 2 8" xfId="119" xr:uid="{00000000-0005-0000-0000-00007A000000}"/>
    <cellStyle name="Normal 2 9" xfId="120" xr:uid="{00000000-0005-0000-0000-00007B000000}"/>
    <cellStyle name="Normal 20" xfId="121" xr:uid="{00000000-0005-0000-0000-00007C000000}"/>
    <cellStyle name="Normal 21" xfId="122" xr:uid="{00000000-0005-0000-0000-00007D000000}"/>
    <cellStyle name="Normal 22" xfId="123" xr:uid="{00000000-0005-0000-0000-00007E000000}"/>
    <cellStyle name="Normal 23" xfId="124" xr:uid="{00000000-0005-0000-0000-00007F000000}"/>
    <cellStyle name="Normal 24" xfId="125" xr:uid="{00000000-0005-0000-0000-000080000000}"/>
    <cellStyle name="Normal 25" xfId="126" xr:uid="{00000000-0005-0000-0000-000081000000}"/>
    <cellStyle name="Normal 26" xfId="127" xr:uid="{00000000-0005-0000-0000-000082000000}"/>
    <cellStyle name="Normal 27" xfId="128" xr:uid="{00000000-0005-0000-0000-000083000000}"/>
    <cellStyle name="Normal 28" xfId="129" xr:uid="{00000000-0005-0000-0000-000084000000}"/>
    <cellStyle name="Normal 29" xfId="130" xr:uid="{00000000-0005-0000-0000-000085000000}"/>
    <cellStyle name="Normal 3" xfId="131" xr:uid="{00000000-0005-0000-0000-000086000000}"/>
    <cellStyle name="Normal 3 2" xfId="213" xr:uid="{B8183240-8C75-4044-A302-E481ED5B6A79}"/>
    <cellStyle name="Normal 30" xfId="132" xr:uid="{00000000-0005-0000-0000-000087000000}"/>
    <cellStyle name="Normal 31" xfId="133" xr:uid="{00000000-0005-0000-0000-000088000000}"/>
    <cellStyle name="Normal 32" xfId="134" xr:uid="{00000000-0005-0000-0000-000089000000}"/>
    <cellStyle name="Normal 33" xfId="135" xr:uid="{00000000-0005-0000-0000-00008A000000}"/>
    <cellStyle name="Normal 34" xfId="136" xr:uid="{00000000-0005-0000-0000-00008B000000}"/>
    <cellStyle name="Normal 35" xfId="137" xr:uid="{00000000-0005-0000-0000-00008C000000}"/>
    <cellStyle name="Normal 36" xfId="138" xr:uid="{00000000-0005-0000-0000-00008D000000}"/>
    <cellStyle name="Normal 37" xfId="139" xr:uid="{00000000-0005-0000-0000-00008E000000}"/>
    <cellStyle name="Normal 38" xfId="140" xr:uid="{00000000-0005-0000-0000-00008F000000}"/>
    <cellStyle name="Normal 39" xfId="141" xr:uid="{00000000-0005-0000-0000-000090000000}"/>
    <cellStyle name="Normal 4" xfId="142" xr:uid="{00000000-0005-0000-0000-000091000000}"/>
    <cellStyle name="Normal 4 2" xfId="143" xr:uid="{00000000-0005-0000-0000-000092000000}"/>
    <cellStyle name="Normal 4 3" xfId="144" xr:uid="{00000000-0005-0000-0000-000093000000}"/>
    <cellStyle name="Normal 4 4" xfId="145" xr:uid="{00000000-0005-0000-0000-000094000000}"/>
    <cellStyle name="Normal 4 5" xfId="146" xr:uid="{00000000-0005-0000-0000-000095000000}"/>
    <cellStyle name="Normal 4 6" xfId="147" xr:uid="{00000000-0005-0000-0000-000096000000}"/>
    <cellStyle name="Normal 4 7" xfId="210" xr:uid="{28F99191-D739-410E-85A5-F8760BEB6D37}"/>
    <cellStyle name="Normal 4_CLOResultadoFiscalAgo09" xfId="148" xr:uid="{00000000-0005-0000-0000-000097000000}"/>
    <cellStyle name="Normal 5" xfId="149" xr:uid="{00000000-0005-0000-0000-000098000000}"/>
    <cellStyle name="Normal 6" xfId="150" xr:uid="{00000000-0005-0000-0000-000099000000}"/>
    <cellStyle name="Normal 7" xfId="151" xr:uid="{00000000-0005-0000-0000-00009A000000}"/>
    <cellStyle name="Normal 8" xfId="152" xr:uid="{00000000-0005-0000-0000-00009B000000}"/>
    <cellStyle name="Normal 9" xfId="153" xr:uid="{00000000-0005-0000-0000-00009C000000}"/>
    <cellStyle name="Notas 10" xfId="154" xr:uid="{00000000-0005-0000-0000-00009D000000}"/>
    <cellStyle name="Notas 11" xfId="155" xr:uid="{00000000-0005-0000-0000-00009E000000}"/>
    <cellStyle name="Notas 12" xfId="156" xr:uid="{00000000-0005-0000-0000-00009F000000}"/>
    <cellStyle name="Notas 13" xfId="157" xr:uid="{00000000-0005-0000-0000-0000A0000000}"/>
    <cellStyle name="Notas 14" xfId="158" xr:uid="{00000000-0005-0000-0000-0000A1000000}"/>
    <cellStyle name="Notas 15" xfId="159" xr:uid="{00000000-0005-0000-0000-0000A2000000}"/>
    <cellStyle name="Notas 16" xfId="160" xr:uid="{00000000-0005-0000-0000-0000A3000000}"/>
    <cellStyle name="Notas 17" xfId="161" xr:uid="{00000000-0005-0000-0000-0000A4000000}"/>
    <cellStyle name="Notas 18" xfId="162" xr:uid="{00000000-0005-0000-0000-0000A5000000}"/>
    <cellStyle name="Notas 19" xfId="163" xr:uid="{00000000-0005-0000-0000-0000A6000000}"/>
    <cellStyle name="Notas 2" xfId="164" xr:uid="{00000000-0005-0000-0000-0000A7000000}"/>
    <cellStyle name="Notas 20" xfId="165" xr:uid="{00000000-0005-0000-0000-0000A8000000}"/>
    <cellStyle name="Notas 21" xfId="166" xr:uid="{00000000-0005-0000-0000-0000A9000000}"/>
    <cellStyle name="Notas 22" xfId="167" xr:uid="{00000000-0005-0000-0000-0000AA000000}"/>
    <cellStyle name="Notas 23" xfId="168" xr:uid="{00000000-0005-0000-0000-0000AB000000}"/>
    <cellStyle name="Notas 3" xfId="169" xr:uid="{00000000-0005-0000-0000-0000AC000000}"/>
    <cellStyle name="Notas 4" xfId="170" xr:uid="{00000000-0005-0000-0000-0000AD000000}"/>
    <cellStyle name="Notas 5" xfId="171" xr:uid="{00000000-0005-0000-0000-0000AE000000}"/>
    <cellStyle name="Notas 6" xfId="172" xr:uid="{00000000-0005-0000-0000-0000AF000000}"/>
    <cellStyle name="Notas 7" xfId="173" xr:uid="{00000000-0005-0000-0000-0000B0000000}"/>
    <cellStyle name="Notas 8" xfId="174" xr:uid="{00000000-0005-0000-0000-0000B1000000}"/>
    <cellStyle name="Notas 9" xfId="175" xr:uid="{00000000-0005-0000-0000-0000B2000000}"/>
    <cellStyle name="Porcentaje" xfId="207" builtinId="5"/>
    <cellStyle name="Porcentaje 2" xfId="209" xr:uid="{00000000-0005-0000-0000-0000B4000000}"/>
    <cellStyle name="Porcentual 12" xfId="176" xr:uid="{00000000-0005-0000-0000-0000B5000000}"/>
    <cellStyle name="Porcentual 13" xfId="177" xr:uid="{00000000-0005-0000-0000-0000B6000000}"/>
    <cellStyle name="Porcentual 15" xfId="178" xr:uid="{00000000-0005-0000-0000-0000B7000000}"/>
    <cellStyle name="Porcentual 2" xfId="179" xr:uid="{00000000-0005-0000-0000-0000B8000000}"/>
    <cellStyle name="Porcentual 2 10" xfId="180" xr:uid="{00000000-0005-0000-0000-0000B9000000}"/>
    <cellStyle name="Porcentual 2 11" xfId="181" xr:uid="{00000000-0005-0000-0000-0000BA000000}"/>
    <cellStyle name="Porcentual 2 12" xfId="182" xr:uid="{00000000-0005-0000-0000-0000BB000000}"/>
    <cellStyle name="Porcentual 2 13" xfId="183" xr:uid="{00000000-0005-0000-0000-0000BC000000}"/>
    <cellStyle name="Porcentual 2 14" xfId="184" xr:uid="{00000000-0005-0000-0000-0000BD000000}"/>
    <cellStyle name="Porcentual 2 15" xfId="185" xr:uid="{00000000-0005-0000-0000-0000BE000000}"/>
    <cellStyle name="Porcentual 2 16" xfId="186" xr:uid="{00000000-0005-0000-0000-0000BF000000}"/>
    <cellStyle name="Porcentual 2 17" xfId="187" xr:uid="{00000000-0005-0000-0000-0000C0000000}"/>
    <cellStyle name="Porcentual 2 18" xfId="188" xr:uid="{00000000-0005-0000-0000-0000C1000000}"/>
    <cellStyle name="Porcentual 2 19" xfId="189" xr:uid="{00000000-0005-0000-0000-0000C2000000}"/>
    <cellStyle name="Porcentual 2 2" xfId="190" xr:uid="{00000000-0005-0000-0000-0000C3000000}"/>
    <cellStyle name="Porcentual 2 3" xfId="191" xr:uid="{00000000-0005-0000-0000-0000C4000000}"/>
    <cellStyle name="Porcentual 2 4" xfId="192" xr:uid="{00000000-0005-0000-0000-0000C5000000}"/>
    <cellStyle name="Porcentual 2 5" xfId="193" xr:uid="{00000000-0005-0000-0000-0000C6000000}"/>
    <cellStyle name="Porcentual 2 6" xfId="194" xr:uid="{00000000-0005-0000-0000-0000C7000000}"/>
    <cellStyle name="Porcentual 2 7" xfId="195" xr:uid="{00000000-0005-0000-0000-0000C8000000}"/>
    <cellStyle name="Porcentual 2 8" xfId="196" xr:uid="{00000000-0005-0000-0000-0000C9000000}"/>
    <cellStyle name="Porcentual 2 9" xfId="197" xr:uid="{00000000-0005-0000-0000-0000CA000000}"/>
    <cellStyle name="Porcentual 3" xfId="198" xr:uid="{00000000-0005-0000-0000-0000CB000000}"/>
    <cellStyle name="Porcentual 3 2" xfId="199" xr:uid="{00000000-0005-0000-0000-0000CC000000}"/>
    <cellStyle name="Porcentual 4" xfId="200" xr:uid="{00000000-0005-0000-0000-0000CD000000}"/>
    <cellStyle name="Porcentual 5" xfId="201" xr:uid="{00000000-0005-0000-0000-0000CE000000}"/>
    <cellStyle name="Porcentual 6" xfId="202" xr:uid="{00000000-0005-0000-0000-0000CF000000}"/>
    <cellStyle name="Porcentual 6 2" xfId="203" xr:uid="{00000000-0005-0000-0000-0000D0000000}"/>
    <cellStyle name="Porcentual 7" xfId="204" xr:uid="{00000000-0005-0000-0000-0000D1000000}"/>
    <cellStyle name="Porcentual 8" xfId="205" xr:uid="{00000000-0005-0000-0000-0000D2000000}"/>
    <cellStyle name="Porcentual 9" xfId="206" xr:uid="{00000000-0005-0000-0000-0000D3000000}"/>
  </cellStyles>
  <dxfs count="32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66FF"/>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color theme="0"/>
      </font>
    </dxf>
    <dxf>
      <font>
        <color theme="0"/>
      </font>
    </dxf>
    <dxf>
      <font>
        <color theme="0"/>
      </font>
    </dxf>
    <dxf>
      <font>
        <color theme="0"/>
      </font>
    </dxf>
    <dxf>
      <font>
        <color theme="0"/>
      </font>
    </dxf>
    <dxf>
      <font>
        <b/>
        <i val="0"/>
        <color theme="0"/>
      </font>
      <fill>
        <patternFill>
          <bgColor rgb="FFFF0000"/>
        </patternFill>
      </fill>
    </dxf>
    <dxf>
      <fill>
        <patternFill>
          <bgColor rgb="FFFFC000"/>
        </patternFill>
      </fill>
    </dxf>
    <dxf>
      <font>
        <b val="0"/>
        <i val="0"/>
        <color auto="1"/>
      </font>
      <fill>
        <patternFill>
          <bgColor rgb="FF00B050"/>
        </patternFill>
      </fill>
    </dxf>
    <dxf>
      <font>
        <b/>
        <i val="0"/>
      </font>
      <fill>
        <patternFill>
          <bgColor rgb="FFFFFF43"/>
        </patternFill>
      </fill>
    </dxf>
    <dxf>
      <font>
        <color theme="0"/>
      </font>
    </dxf>
    <dxf>
      <font>
        <b/>
        <i val="0"/>
      </font>
      <fill>
        <patternFill>
          <bgColor rgb="FFFFFF43"/>
        </patternFill>
      </fill>
    </dxf>
    <dxf>
      <font>
        <b val="0"/>
        <i val="0"/>
        <color theme="0"/>
      </font>
      <numFmt numFmtId="0" formatCode="General"/>
      <fill>
        <patternFill patternType="none">
          <bgColor auto="1"/>
        </patternFill>
      </fill>
    </dxf>
    <dxf>
      <font>
        <b/>
        <i val="0"/>
      </font>
      <fill>
        <patternFill>
          <bgColor rgb="FF59FF25"/>
        </patternFill>
      </fill>
    </dxf>
    <dxf>
      <font>
        <color theme="0"/>
      </font>
    </dxf>
    <dxf>
      <font>
        <b/>
        <i val="0"/>
        <color rgb="FFFF0000"/>
      </font>
      <fill>
        <patternFill>
          <bgColor theme="2" tint="-0.24994659260841701"/>
        </patternFill>
      </fill>
    </dxf>
    <dxf>
      <font>
        <color theme="0"/>
      </font>
    </dxf>
    <dxf>
      <font>
        <b/>
        <i val="0"/>
        <color rgb="FFFF0000"/>
      </font>
      <fill>
        <patternFill>
          <bgColor theme="2" tint="-0.24994659260841701"/>
        </patternFill>
      </fill>
    </dxf>
    <dxf>
      <font>
        <color theme="0"/>
      </font>
    </dxf>
    <dxf>
      <font>
        <b/>
        <i val="0"/>
      </font>
      <fill>
        <patternFill>
          <bgColor rgb="FFFFFF43"/>
        </patternFill>
      </fill>
    </dxf>
    <dxf>
      <font>
        <b val="0"/>
        <i val="0"/>
        <color theme="0"/>
      </font>
      <numFmt numFmtId="0" formatCode="General"/>
      <fill>
        <patternFill patternType="none">
          <bgColor auto="1"/>
        </patternFill>
      </fill>
    </dxf>
    <dxf>
      <font>
        <b/>
        <i val="0"/>
      </font>
      <fill>
        <patternFill>
          <bgColor rgb="FF59FF25"/>
        </patternFill>
      </fill>
    </dxf>
    <dxf>
      <font>
        <color theme="0"/>
      </font>
    </dxf>
    <dxf>
      <fill>
        <patternFill>
          <bgColor theme="0" tint="-0.24994659260841701"/>
        </patternFill>
      </fill>
    </dxf>
    <dxf>
      <font>
        <color theme="0"/>
      </font>
    </dxf>
    <dxf>
      <font>
        <color theme="0"/>
      </font>
    </dxf>
    <dxf>
      <font>
        <b/>
        <i val="0"/>
        <color theme="0"/>
      </font>
      <fill>
        <patternFill>
          <bgColor rgb="FF7030A0"/>
        </patternFill>
      </fill>
    </dxf>
    <dxf>
      <font>
        <b/>
        <i val="0"/>
        <color theme="0"/>
      </font>
      <fill>
        <patternFill>
          <bgColor theme="1"/>
        </patternFill>
      </fill>
    </dxf>
    <dxf>
      <font>
        <color theme="0"/>
      </font>
    </dxf>
    <dxf>
      <font>
        <color theme="0"/>
      </font>
    </dxf>
    <dxf>
      <font>
        <color theme="0"/>
      </font>
    </dxf>
    <dxf>
      <font>
        <color theme="0"/>
      </font>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color theme="0"/>
      </font>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78" formatCode="&quot;$&quot;#,##0.00"/>
      <alignment horizontal="center"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Calibri"/>
        <family val="2"/>
        <scheme val="minor"/>
      </font>
      <numFmt numFmtId="178" formatCode="&quot;$&quot;#,##0.00"/>
      <alignment horizontal="center" vertical="center" textRotation="0" wrapText="0" indent="0" justifyLastLine="0" shrinkToFit="0" readingOrder="0"/>
      <border diagonalUp="0" diagonalDown="0">
        <left style="thin">
          <color indexed="64"/>
        </left>
        <right style="thin">
          <color indexed="64"/>
        </right>
        <top/>
        <bottom/>
        <vertical/>
        <horizontal/>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strike val="0"/>
        <outline val="0"/>
        <shadow val="0"/>
        <u val="none"/>
        <vertAlign val="baseline"/>
        <sz val="11"/>
        <color auto="1"/>
        <name val="Calibri"/>
        <family val="2"/>
        <scheme val="minor"/>
      </font>
      <numFmt numFmtId="178" formatCode="&quot;$&quot;#,##0.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border outline="0">
        <top style="thin">
          <color theme="1"/>
        </top>
        <bottom style="thin">
          <color auto="1"/>
        </bottom>
      </border>
    </dxf>
    <dxf>
      <font>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border diagonalUp="0" diagonalDown="0" outline="0">
        <left style="thin">
          <color theme="1"/>
        </left>
        <right style="thin">
          <color theme="1"/>
        </right>
        <top/>
        <bottom/>
      </border>
    </dxf>
    <dxf>
      <font>
        <strike val="0"/>
        <outline val="0"/>
        <shadow val="0"/>
        <u val="none"/>
        <vertAlign val="baseline"/>
        <name val="Calibri"/>
        <family val="2"/>
        <scheme val="minor"/>
      </font>
      <numFmt numFmtId="184" formatCode="&quot;$&quot;#,##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strike val="0"/>
        <outline val="0"/>
        <shadow val="0"/>
        <u val="none"/>
        <vertAlign val="baseline"/>
        <name val="Calibri"/>
        <family val="2"/>
        <scheme val="minor"/>
      </font>
      <numFmt numFmtId="184" formatCode="&quot;$&quot;#,##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family val="2"/>
        <scheme val="minor"/>
      </font>
      <numFmt numFmtId="4" formatCode="#,##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family val="2"/>
        <scheme val="minor"/>
      </font>
      <numFmt numFmtId="4" formatCode="#,##0.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84" formatCode="&quot;$&quot;#,##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84" formatCode="&quot;$&quot;#,##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family val="2"/>
        <scheme val="minor"/>
      </font>
      <numFmt numFmtId="20" formatCode="dd\-mmm\-yy"/>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rgb="FFFF0000"/>
        <name val="Calibri"/>
        <family val="2"/>
        <scheme val="minor"/>
      </font>
      <numFmt numFmtId="191" formatCode="&quot;BR-&quo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border outline="0">
        <left style="medium">
          <color indexed="64"/>
        </left>
        <right style="medium">
          <color indexed="64"/>
        </right>
        <top style="medium">
          <color indexed="64"/>
        </top>
        <bottom style="medium">
          <color indexed="64"/>
        </bottom>
      </border>
    </dxf>
    <dxf>
      <font>
        <strike val="0"/>
        <outline val="0"/>
        <shadow val="0"/>
        <u val="none"/>
        <vertAlign val="baseline"/>
        <name val="Calibri"/>
        <family val="2"/>
        <scheme val="minor"/>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dxf>
    <dxf>
      <numFmt numFmtId="177" formatCode="#,##0.0"/>
    </dxf>
    <dxf>
      <alignment wrapText="1"/>
    </dxf>
    <dxf>
      <fill>
        <patternFill patternType="solid">
          <bgColor rgb="FFFFFF00"/>
        </patternFill>
      </fill>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font>
        <sz val="14"/>
      </font>
    </dxf>
    <dxf>
      <font>
        <sz val="14"/>
      </font>
    </dxf>
    <dxf>
      <font>
        <sz val="18"/>
      </font>
    </dxf>
    <dxf>
      <font>
        <sz val="14"/>
      </font>
    </dxf>
    <dxf>
      <font>
        <sz val="14"/>
      </font>
    </dxf>
    <dxf>
      <font>
        <sz val="14"/>
      </font>
    </dxf>
    <dxf>
      <font>
        <sz val="14"/>
      </font>
    </dxf>
    <dxf>
      <font>
        <sz val="14"/>
      </font>
    </dxf>
    <dxf>
      <alignment horizontal="center"/>
    </dxf>
    <dxf>
      <alignment vertical="center"/>
    </dxf>
    <dxf>
      <numFmt numFmtId="177" formatCode="#,##0.0"/>
    </dxf>
    <dxf>
      <numFmt numFmtId="177" formatCode="#,##0.0"/>
    </dxf>
    <dxf>
      <numFmt numFmtId="177" formatCode="#,##0.0"/>
    </dxf>
    <dxf>
      <font>
        <sz val="14"/>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FF6600"/>
      <color rgb="FFCCFF99"/>
      <color rgb="FFFF33CC"/>
      <color rgb="FFFF99FF"/>
      <color rgb="FFCCFF33"/>
      <color rgb="FF66FF33"/>
      <color rgb="FF00FF00"/>
      <color rgb="FFCCCC00"/>
      <color rgb="FFCC99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21" Type="http://schemas.openxmlformats.org/officeDocument/2006/relationships/worksheet" Target="worksheets/sheet21.xml"/><Relationship Id="rId34"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microsoft.com/office/2007/relationships/slicerCache" Target="slicerCaches/slicerCache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07/relationships/slicerCache" Target="slicerCaches/slicerCache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pivotCacheDefinition" Target="pivotCache/pivotCacheDefinition1.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537662573208419E-2"/>
          <c:y val="0.4842194303803846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C00000"/>
              </a:solidFill>
              <a:latin typeface="+mn-lt"/>
              <a:ea typeface="+mn-ea"/>
              <a:cs typeface="+mn-cs"/>
            </a:defRPr>
          </a:pPr>
          <a:endParaRPr lang="es-MX"/>
        </a:p>
      </c:txPr>
    </c:title>
    <c:autoTitleDeleted val="0"/>
    <c:plotArea>
      <c:layout/>
      <c:pieChart>
        <c:varyColors val="1"/>
        <c:ser>
          <c:idx val="0"/>
          <c:order val="0"/>
          <c:tx>
            <c:strRef>
              <c:f>Graph!$C$9</c:f>
              <c:strCache>
                <c:ptCount val="1"/>
                <c:pt idx="0">
                  <c:v>PRODUCCIÓN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EF0-4980-A484-AE704AEA44A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6EF0-4980-A484-AE704AEA44A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6EF0-4980-A484-AE704AEA44A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6EF0-4980-A484-AE704AEA44A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3D5-4033-8240-2FFD4052E39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EF0-4980-A484-AE704AEA44A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6EF0-4980-A484-AE704AEA44A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6EF0-4980-A484-AE704AEA44A3}"/>
              </c:ext>
            </c:extLst>
          </c:dPt>
          <c:dPt>
            <c:idx val="8"/>
            <c:bubble3D val="0"/>
            <c:spPr>
              <a:solidFill>
                <a:srgbClr val="FF99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EF0-4980-A484-AE704AEA44A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EF0-4980-A484-AE704AEA44A3}"/>
              </c:ext>
            </c:extLst>
          </c:dPt>
          <c:dPt>
            <c:idx val="10"/>
            <c:bubble3D val="0"/>
            <c:spPr>
              <a:solidFill>
                <a:srgbClr val="FF66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6EF0-4980-A484-AE704AEA44A3}"/>
              </c:ext>
            </c:extLst>
          </c:dPt>
          <c:dLbls>
            <c:dLbl>
              <c:idx val="0"/>
              <c:layout>
                <c:manualLayout>
                  <c:x val="0.14142895888664908"/>
                  <c:y val="-4.7003096598712324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9749531249999999"/>
                      <c:h val="5.4855060506050608E-2"/>
                    </c:manualLayout>
                  </c15:layout>
                </c:ext>
                <c:ext xmlns:c16="http://schemas.microsoft.com/office/drawing/2014/chart" uri="{C3380CC4-5D6E-409C-BE32-E72D297353CC}">
                  <c16:uniqueId val="{00000005-6EF0-4980-A484-AE704AEA44A3}"/>
                </c:ext>
              </c:extLst>
            </c:dLbl>
            <c:dLbl>
              <c:idx val="1"/>
              <c:layout>
                <c:manualLayout>
                  <c:x val="0.14089545340265491"/>
                  <c:y val="1.868112026262230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EF0-4980-A484-AE704AEA44A3}"/>
                </c:ext>
              </c:extLst>
            </c:dLbl>
            <c:dLbl>
              <c:idx val="2"/>
              <c:layout>
                <c:manualLayout>
                  <c:x val="-0.22008203601699364"/>
                  <c:y val="-1.83311641501145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6EF0-4980-A484-AE704AEA44A3}"/>
                </c:ext>
              </c:extLst>
            </c:dLbl>
            <c:dLbl>
              <c:idx val="3"/>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849699398797595"/>
                      <c:h val="0.11932550248659478"/>
                    </c:manualLayout>
                  </c15:layout>
                </c:ext>
                <c:ext xmlns:c16="http://schemas.microsoft.com/office/drawing/2014/chart" uri="{C3380CC4-5D6E-409C-BE32-E72D297353CC}">
                  <c16:uniqueId val="{00000002-6EF0-4980-A484-AE704AEA44A3}"/>
                </c:ext>
              </c:extLst>
            </c:dLbl>
            <c:dLbl>
              <c:idx val="5"/>
              <c:layout>
                <c:manualLayout>
                  <c:x val="-5.8649913194444445E-2"/>
                  <c:y val="0.11725577557755776"/>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8824600694444441"/>
                      <c:h val="0.1172483498349835"/>
                    </c:manualLayout>
                  </c15:layout>
                </c:ext>
                <c:ext xmlns:c16="http://schemas.microsoft.com/office/drawing/2014/chart" uri="{C3380CC4-5D6E-409C-BE32-E72D297353CC}">
                  <c16:uniqueId val="{00000003-6EF0-4980-A484-AE704AEA44A3}"/>
                </c:ext>
              </c:extLst>
            </c:dLbl>
            <c:dLbl>
              <c:idx val="6"/>
              <c:layout>
                <c:manualLayout>
                  <c:x val="-0.14879322916666665"/>
                  <c:y val="6.716144114411437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6EF0-4980-A484-AE704AEA44A3}"/>
                </c:ext>
              </c:extLst>
            </c:dLbl>
            <c:dLbl>
              <c:idx val="7"/>
              <c:layout>
                <c:manualLayout>
                  <c:x val="-0.32900000000000001"/>
                  <c:y val="6.6556655665566563E-5"/>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6EF0-4980-A484-AE704AEA44A3}"/>
                </c:ext>
              </c:extLst>
            </c:dLbl>
            <c:dLbl>
              <c:idx val="8"/>
              <c:layout>
                <c:manualLayout>
                  <c:x val="-0.1698498263888889"/>
                  <c:y val="-4.476622662266226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6EF0-4980-A484-AE704AEA44A3}"/>
                </c:ext>
              </c:extLst>
            </c:dLbl>
            <c:dLbl>
              <c:idx val="9"/>
              <c:layout>
                <c:manualLayout>
                  <c:x val="-4.4042637666457475E-2"/>
                  <c:y val="-5.566862179112713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6EF0-4980-A484-AE704AEA44A3}"/>
                </c:ext>
              </c:extLst>
            </c:dLbl>
            <c:dLbl>
              <c:idx val="10"/>
              <c:layout>
                <c:manualLayout>
                  <c:x val="0.15200886505141836"/>
                  <c:y val="-0.1079035885888707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1414556541843355"/>
                      <c:h val="5.7933396134796013E-2"/>
                    </c:manualLayout>
                  </c15:layout>
                </c:ext>
                <c:ext xmlns:c16="http://schemas.microsoft.com/office/drawing/2014/chart" uri="{C3380CC4-5D6E-409C-BE32-E72D297353CC}">
                  <c16:uniqueId val="{00000008-6EF0-4980-A484-AE704AEA44A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Graph!$B$10:$B$20</c:f>
              <c:strCache>
                <c:ptCount val="11"/>
                <c:pt idx="0">
                  <c:v>MIEL [L]</c:v>
                </c:pt>
                <c:pt idx="1">
                  <c:v>CRISOPAS [L]</c:v>
                </c:pt>
                <c:pt idx="2">
                  <c:v>COMPOSTA [Kg]</c:v>
                </c:pt>
                <c:pt idx="3">
                  <c:v>VERMICOMPOSTA [Kg]</c:v>
                </c:pt>
                <c:pt idx="4">
                  <c:v>LIXIVIADO [L]</c:v>
                </c:pt>
                <c:pt idx="5">
                  <c:v>NITRABOR LIQ [L]</c:v>
                </c:pt>
                <c:pt idx="6">
                  <c:v>MULTIROOT [L]</c:v>
                </c:pt>
                <c:pt idx="7">
                  <c:v>MD-CITRI [L]</c:v>
                </c:pt>
                <c:pt idx="8">
                  <c:v>CT-CITRI [L]</c:v>
                </c:pt>
                <c:pt idx="9">
                  <c:v>CITROFOL-D [L]</c:v>
                </c:pt>
                <c:pt idx="10">
                  <c:v>JADAM [L]</c:v>
                </c:pt>
              </c:strCache>
            </c:strRef>
          </c:cat>
          <c:val>
            <c:numRef>
              <c:f>Graph!$C$10:$C$20</c:f>
              <c:numCache>
                <c:formatCode>#,##0.0</c:formatCode>
                <c:ptCount val="11"/>
                <c:pt idx="0" formatCode="#,##0">
                  <c:v>3542.8689999999997</c:v>
                </c:pt>
                <c:pt idx="1">
                  <c:v>64.619</c:v>
                </c:pt>
                <c:pt idx="2" formatCode="#,##0">
                  <c:v>850000</c:v>
                </c:pt>
                <c:pt idx="3" formatCode="#,##0">
                  <c:v>143000</c:v>
                </c:pt>
                <c:pt idx="4" formatCode="#,##0">
                  <c:v>282000</c:v>
                </c:pt>
                <c:pt idx="5" formatCode="#,##0">
                  <c:v>157000</c:v>
                </c:pt>
                <c:pt idx="6" formatCode="#,##0">
                  <c:v>37500</c:v>
                </c:pt>
                <c:pt idx="7" formatCode="#,##0">
                  <c:v>6000</c:v>
                </c:pt>
                <c:pt idx="8" formatCode="#,##0">
                  <c:v>14200</c:v>
                </c:pt>
                <c:pt idx="9" formatCode="#,##0">
                  <c:v>2000</c:v>
                </c:pt>
                <c:pt idx="10" formatCode="#,##0">
                  <c:v>2000</c:v>
                </c:pt>
              </c:numCache>
            </c:numRef>
          </c:val>
          <c:extLst>
            <c:ext xmlns:c16="http://schemas.microsoft.com/office/drawing/2014/chart" uri="{C3380CC4-5D6E-409C-BE32-E72D297353CC}">
              <c16:uniqueId val="{00000000-6EF0-4980-A484-AE704AEA44A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Graph!$C$9</c:f>
              <c:strCache>
                <c:ptCount val="1"/>
                <c:pt idx="0">
                  <c:v>PRODUCCIÓN</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rebuchet MS" panose="020B0603020202020204" pitchFamily="34"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Graph!$B$10</c:f>
              <c:strCache>
                <c:ptCount val="1"/>
                <c:pt idx="0">
                  <c:v>MIEL [L]</c:v>
                </c:pt>
              </c:strCache>
            </c:strRef>
          </c:cat>
          <c:val>
            <c:numRef>
              <c:f>Graph!$C$10</c:f>
              <c:numCache>
                <c:formatCode>#,##0</c:formatCode>
                <c:ptCount val="1"/>
                <c:pt idx="0">
                  <c:v>3542.8689999999997</c:v>
                </c:pt>
              </c:numCache>
            </c:numRef>
          </c:val>
          <c:extLst>
            <c:ext xmlns:c16="http://schemas.microsoft.com/office/drawing/2014/chart" uri="{C3380CC4-5D6E-409C-BE32-E72D297353CC}">
              <c16:uniqueId val="{00000000-2595-4720-B47B-088B671E272C}"/>
            </c:ext>
          </c:extLst>
        </c:ser>
        <c:ser>
          <c:idx val="1"/>
          <c:order val="1"/>
          <c:tx>
            <c:strRef>
              <c:f>Graph!$D$9</c:f>
              <c:strCache>
                <c:ptCount val="1"/>
                <c:pt idx="0">
                  <c:v>VENTA</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rebuchet MS" panose="020B0603020202020204" pitchFamily="34"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Graph!$B$10</c:f>
              <c:strCache>
                <c:ptCount val="1"/>
                <c:pt idx="0">
                  <c:v>MIEL [L]</c:v>
                </c:pt>
              </c:strCache>
            </c:strRef>
          </c:cat>
          <c:val>
            <c:numRef>
              <c:f>Graph!$D$10</c:f>
              <c:numCache>
                <c:formatCode>#,##0</c:formatCode>
                <c:ptCount val="1"/>
                <c:pt idx="0">
                  <c:v>2184.5</c:v>
                </c:pt>
              </c:numCache>
            </c:numRef>
          </c:val>
          <c:extLst>
            <c:ext xmlns:c16="http://schemas.microsoft.com/office/drawing/2014/chart" uri="{C3380CC4-5D6E-409C-BE32-E72D297353CC}">
              <c16:uniqueId val="{00000004-2595-4720-B47B-088B671E272C}"/>
            </c:ext>
          </c:extLst>
        </c:ser>
        <c:dLbls>
          <c:dLblPos val="outEnd"/>
          <c:showLegendKey val="0"/>
          <c:showVal val="1"/>
          <c:showCatName val="0"/>
          <c:showSerName val="0"/>
          <c:showPercent val="0"/>
          <c:showBubbleSize val="0"/>
        </c:dLbls>
        <c:gapWidth val="100"/>
        <c:overlap val="-15"/>
        <c:axId val="130328415"/>
        <c:axId val="258623503"/>
      </c:barChart>
      <c:catAx>
        <c:axId val="13032841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rebuchet MS" panose="020B0603020202020204" pitchFamily="34" charset="0"/>
                <a:ea typeface="+mn-ea"/>
                <a:cs typeface="+mn-cs"/>
              </a:defRPr>
            </a:pPr>
            <a:endParaRPr lang="es-MX"/>
          </a:p>
        </c:txPr>
        <c:crossAx val="258623503"/>
        <c:crosses val="autoZero"/>
        <c:auto val="1"/>
        <c:lblAlgn val="ctr"/>
        <c:lblOffset val="100"/>
        <c:noMultiLvlLbl val="0"/>
      </c:catAx>
      <c:valAx>
        <c:axId val="258623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panose="020B0603020202020204" pitchFamily="34" charset="0"/>
                <a:ea typeface="+mn-ea"/>
                <a:cs typeface="+mn-cs"/>
              </a:defRPr>
            </a:pPr>
            <a:endParaRPr lang="es-MX"/>
          </a:p>
        </c:txPr>
        <c:crossAx val="130328415"/>
        <c:crosses val="autoZero"/>
        <c:crossBetween val="between"/>
      </c:valAx>
      <c:spPr>
        <a:noFill/>
        <a:ln>
          <a:noFill/>
        </a:ln>
        <a:effectLst/>
      </c:spPr>
    </c:plotArea>
    <c:legend>
      <c:legendPos val="t"/>
      <c:layout>
        <c:manualLayout>
          <c:xMode val="edge"/>
          <c:yMode val="edge"/>
          <c:x val="0.62090712053769159"/>
          <c:y val="2.3518518518518518E-2"/>
          <c:w val="0.35901199936364553"/>
          <c:h val="9.6105092592592603E-2"/>
        </c:manualLayout>
      </c:layout>
      <c:overlay val="1"/>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rebuchet MS" panose="020B0603020202020204" pitchFamily="34" charset="0"/>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1537662573208419E-2"/>
          <c:y val="0.4842194303803846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C00000"/>
              </a:solidFill>
              <a:latin typeface="+mn-lt"/>
              <a:ea typeface="+mn-ea"/>
              <a:cs typeface="+mn-cs"/>
            </a:defRPr>
          </a:pPr>
          <a:endParaRPr lang="es-MX"/>
        </a:p>
      </c:txPr>
    </c:title>
    <c:autoTitleDeleted val="0"/>
    <c:plotArea>
      <c:layout/>
      <c:pieChart>
        <c:varyColors val="1"/>
        <c:ser>
          <c:idx val="0"/>
          <c:order val="0"/>
          <c:tx>
            <c:strRef>
              <c:f>Graph!$D$9</c:f>
              <c:strCache>
                <c:ptCount val="1"/>
                <c:pt idx="0">
                  <c:v>VENTA</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12E-43F6-B149-4AB71F90212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12E-43F6-B149-4AB71F90212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12E-43F6-B149-4AB71F90212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12E-43F6-B149-4AB71F90212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12E-43F6-B149-4AB71F90212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12E-43F6-B149-4AB71F90212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12E-43F6-B149-4AB71F90212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A12E-43F6-B149-4AB71F902125}"/>
              </c:ext>
            </c:extLst>
          </c:dPt>
          <c:dPt>
            <c:idx val="8"/>
            <c:bubble3D val="0"/>
            <c:spPr>
              <a:solidFill>
                <a:srgbClr val="FF99F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A12E-43F6-B149-4AB71F90212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A12E-43F6-B149-4AB71F902125}"/>
              </c:ext>
            </c:extLst>
          </c:dPt>
          <c:dPt>
            <c:idx val="10"/>
            <c:bubble3D val="0"/>
            <c:spPr>
              <a:solidFill>
                <a:srgbClr val="FF66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A12E-43F6-B149-4AB71F902125}"/>
              </c:ext>
            </c:extLst>
          </c:dPt>
          <c:dLbls>
            <c:dLbl>
              <c:idx val="0"/>
              <c:layout>
                <c:manualLayout>
                  <c:x val="0.14142895888664908"/>
                  <c:y val="-4.7003096598712324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9749531249999999"/>
                      <c:h val="5.4855060506050608E-2"/>
                    </c:manualLayout>
                  </c15:layout>
                </c:ext>
                <c:ext xmlns:c16="http://schemas.microsoft.com/office/drawing/2014/chart" uri="{C3380CC4-5D6E-409C-BE32-E72D297353CC}">
                  <c16:uniqueId val="{00000001-A12E-43F6-B149-4AB71F902125}"/>
                </c:ext>
              </c:extLst>
            </c:dLbl>
            <c:dLbl>
              <c:idx val="1"/>
              <c:layout>
                <c:manualLayout>
                  <c:x val="0.14089545340265491"/>
                  <c:y val="1.868112026262230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12E-43F6-B149-4AB71F902125}"/>
                </c:ext>
              </c:extLst>
            </c:dLbl>
            <c:dLbl>
              <c:idx val="2"/>
              <c:layout>
                <c:manualLayout>
                  <c:x val="-0.22008203601699364"/>
                  <c:y val="-1.83311641501145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12E-43F6-B149-4AB71F902125}"/>
                </c:ext>
              </c:extLst>
            </c:dLbl>
            <c:dLbl>
              <c:idx val="3"/>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849699398797595"/>
                      <c:h val="0.11932550248659478"/>
                    </c:manualLayout>
                  </c15:layout>
                </c:ext>
                <c:ext xmlns:c16="http://schemas.microsoft.com/office/drawing/2014/chart" uri="{C3380CC4-5D6E-409C-BE32-E72D297353CC}">
                  <c16:uniqueId val="{00000007-A12E-43F6-B149-4AB71F902125}"/>
                </c:ext>
              </c:extLst>
            </c:dLbl>
            <c:dLbl>
              <c:idx val="5"/>
              <c:layout>
                <c:manualLayout>
                  <c:x val="-5.8649913194444445E-2"/>
                  <c:y val="0.11725577557755776"/>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8824600694444441"/>
                      <c:h val="0.1172483498349835"/>
                    </c:manualLayout>
                  </c15:layout>
                </c:ext>
                <c:ext xmlns:c16="http://schemas.microsoft.com/office/drawing/2014/chart" uri="{C3380CC4-5D6E-409C-BE32-E72D297353CC}">
                  <c16:uniqueId val="{0000000B-A12E-43F6-B149-4AB71F902125}"/>
                </c:ext>
              </c:extLst>
            </c:dLbl>
            <c:dLbl>
              <c:idx val="6"/>
              <c:layout>
                <c:manualLayout>
                  <c:x val="-0.14879322916666665"/>
                  <c:y val="6.716144114411437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A12E-43F6-B149-4AB71F902125}"/>
                </c:ext>
              </c:extLst>
            </c:dLbl>
            <c:dLbl>
              <c:idx val="7"/>
              <c:layout>
                <c:manualLayout>
                  <c:x val="-0.32900000000000001"/>
                  <c:y val="6.6556655665566563E-5"/>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12E-43F6-B149-4AB71F902125}"/>
                </c:ext>
              </c:extLst>
            </c:dLbl>
            <c:dLbl>
              <c:idx val="8"/>
              <c:layout>
                <c:manualLayout>
                  <c:x val="-0.1698498263888889"/>
                  <c:y val="-4.476622662266226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A12E-43F6-B149-4AB71F902125}"/>
                </c:ext>
              </c:extLst>
            </c:dLbl>
            <c:dLbl>
              <c:idx val="9"/>
              <c:layout>
                <c:manualLayout>
                  <c:x val="-4.4042637666457475E-2"/>
                  <c:y val="-5.566862179112713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A12E-43F6-B149-4AB71F902125}"/>
                </c:ext>
              </c:extLst>
            </c:dLbl>
            <c:dLbl>
              <c:idx val="10"/>
              <c:layout>
                <c:manualLayout>
                  <c:x val="0.15200886505141836"/>
                  <c:y val="-0.1079035885888707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1414556541843355"/>
                      <c:h val="5.7933396134796013E-2"/>
                    </c:manualLayout>
                  </c15:layout>
                </c:ext>
                <c:ext xmlns:c16="http://schemas.microsoft.com/office/drawing/2014/chart" uri="{C3380CC4-5D6E-409C-BE32-E72D297353CC}">
                  <c16:uniqueId val="{00000015-A12E-43F6-B149-4AB71F90212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Graph!$B$10:$B$20</c:f>
              <c:strCache>
                <c:ptCount val="11"/>
                <c:pt idx="0">
                  <c:v>MIEL [L]</c:v>
                </c:pt>
                <c:pt idx="1">
                  <c:v>CRISOPAS [L]</c:v>
                </c:pt>
                <c:pt idx="2">
                  <c:v>COMPOSTA [Kg]</c:v>
                </c:pt>
                <c:pt idx="3">
                  <c:v>VERMICOMPOSTA [Kg]</c:v>
                </c:pt>
                <c:pt idx="4">
                  <c:v>LIXIVIADO [L]</c:v>
                </c:pt>
                <c:pt idx="5">
                  <c:v>NITRABOR LIQ [L]</c:v>
                </c:pt>
                <c:pt idx="6">
                  <c:v>MULTIROOT [L]</c:v>
                </c:pt>
                <c:pt idx="7">
                  <c:v>MD-CITRI [L]</c:v>
                </c:pt>
                <c:pt idx="8">
                  <c:v>CT-CITRI [L]</c:v>
                </c:pt>
                <c:pt idx="9">
                  <c:v>CITROFOL-D [L]</c:v>
                </c:pt>
                <c:pt idx="10">
                  <c:v>JADAM [L]</c:v>
                </c:pt>
              </c:strCache>
            </c:strRef>
          </c:cat>
          <c:val>
            <c:numRef>
              <c:f>Graph!$D$10:$D$20</c:f>
              <c:numCache>
                <c:formatCode>#,##0.0</c:formatCode>
                <c:ptCount val="11"/>
                <c:pt idx="0" formatCode="#,##0">
                  <c:v>2184.5</c:v>
                </c:pt>
                <c:pt idx="1">
                  <c:v>58.991</c:v>
                </c:pt>
                <c:pt idx="2" formatCode="#,##0">
                  <c:v>708030</c:v>
                </c:pt>
                <c:pt idx="3" formatCode="#,##0">
                  <c:v>94300</c:v>
                </c:pt>
                <c:pt idx="4" formatCode="#,##0">
                  <c:v>241004.375</c:v>
                </c:pt>
                <c:pt idx="5" formatCode="#,##0">
                  <c:v>157000</c:v>
                </c:pt>
                <c:pt idx="6" formatCode="#,##0">
                  <c:v>35260</c:v>
                </c:pt>
                <c:pt idx="7" formatCode="#,##0">
                  <c:v>5460</c:v>
                </c:pt>
                <c:pt idx="8" formatCode="#,##0">
                  <c:v>13980</c:v>
                </c:pt>
                <c:pt idx="9" formatCode="#,##0">
                  <c:v>1400</c:v>
                </c:pt>
                <c:pt idx="10" formatCode="#,##0">
                  <c:v>1500</c:v>
                </c:pt>
              </c:numCache>
            </c:numRef>
          </c:val>
          <c:extLst>
            <c:ext xmlns:c16="http://schemas.microsoft.com/office/drawing/2014/chart" uri="{C3380CC4-5D6E-409C-BE32-E72D297353CC}">
              <c16:uniqueId val="{00000016-A12E-43F6-B149-4AB71F90212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Graph!$C$9</c:f>
              <c:strCache>
                <c:ptCount val="1"/>
                <c:pt idx="0">
                  <c:v>PRODUCCIÓN</c:v>
                </c:pt>
              </c:strCache>
            </c:strRef>
          </c:tx>
          <c:spPr>
            <a:solidFill>
              <a:srgbClr val="00FF00"/>
            </a:solidFill>
            <a:ln>
              <a:noFill/>
            </a:ln>
            <a:effectLst/>
          </c:spPr>
          <c:invertIfNegative val="0"/>
          <c:dPt>
            <c:idx val="0"/>
            <c:invertIfNegative val="0"/>
            <c:bubble3D val="0"/>
            <c:spPr>
              <a:solidFill>
                <a:srgbClr val="00FF00"/>
              </a:solidFill>
              <a:ln>
                <a:noFill/>
              </a:ln>
              <a:effectLst/>
            </c:spPr>
            <c:extLst>
              <c:ext xmlns:c16="http://schemas.microsoft.com/office/drawing/2014/chart" uri="{C3380CC4-5D6E-409C-BE32-E72D297353CC}">
                <c16:uniqueId val="{00000001-8674-464B-A829-FB7BFF06239B}"/>
              </c:ext>
            </c:extLst>
          </c:dPt>
          <c:dPt>
            <c:idx val="1"/>
            <c:invertIfNegative val="0"/>
            <c:bubble3D val="0"/>
            <c:spPr>
              <a:solidFill>
                <a:srgbClr val="00FF00"/>
              </a:solidFill>
              <a:ln>
                <a:noFill/>
              </a:ln>
              <a:effectLst/>
            </c:spPr>
            <c:extLst>
              <c:ext xmlns:c16="http://schemas.microsoft.com/office/drawing/2014/chart" uri="{C3380CC4-5D6E-409C-BE32-E72D297353CC}">
                <c16:uniqueId val="{00000003-8674-464B-A829-FB7BFF06239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rebuchet MS" panose="020B0603020202020204" pitchFamily="34"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Graph!$B$11</c:f>
              <c:strCache>
                <c:ptCount val="1"/>
                <c:pt idx="0">
                  <c:v>CRISOPAS [L]</c:v>
                </c:pt>
              </c:strCache>
            </c:strRef>
          </c:cat>
          <c:val>
            <c:numRef>
              <c:f>Graph!$C$11</c:f>
              <c:numCache>
                <c:formatCode>#,##0.0</c:formatCode>
                <c:ptCount val="1"/>
                <c:pt idx="0">
                  <c:v>64.619</c:v>
                </c:pt>
              </c:numCache>
            </c:numRef>
          </c:val>
          <c:extLst>
            <c:ext xmlns:c16="http://schemas.microsoft.com/office/drawing/2014/chart" uri="{C3380CC4-5D6E-409C-BE32-E72D297353CC}">
              <c16:uniqueId val="{00000004-8674-464B-A829-FB7BFF06239B}"/>
            </c:ext>
          </c:extLst>
        </c:ser>
        <c:ser>
          <c:idx val="1"/>
          <c:order val="1"/>
          <c:tx>
            <c:strRef>
              <c:f>Graph!$D$9</c:f>
              <c:strCache>
                <c:ptCount val="1"/>
                <c:pt idx="0">
                  <c:v>VENTA</c:v>
                </c:pt>
              </c:strCache>
            </c:strRef>
          </c:tx>
          <c:spPr>
            <a:solidFill>
              <a:srgbClr val="CC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Trebuchet MS" panose="020B0603020202020204" pitchFamily="34" charset="0"/>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Graph!$B$11</c:f>
              <c:strCache>
                <c:ptCount val="1"/>
                <c:pt idx="0">
                  <c:v>CRISOPAS [L]</c:v>
                </c:pt>
              </c:strCache>
            </c:strRef>
          </c:cat>
          <c:val>
            <c:numRef>
              <c:f>Graph!$D$11</c:f>
              <c:numCache>
                <c:formatCode>#,##0.0</c:formatCode>
                <c:ptCount val="1"/>
                <c:pt idx="0">
                  <c:v>58.991</c:v>
                </c:pt>
              </c:numCache>
            </c:numRef>
          </c:val>
          <c:extLst>
            <c:ext xmlns:c16="http://schemas.microsoft.com/office/drawing/2014/chart" uri="{C3380CC4-5D6E-409C-BE32-E72D297353CC}">
              <c16:uniqueId val="{00000006-8674-464B-A829-FB7BFF06239B}"/>
            </c:ext>
          </c:extLst>
        </c:ser>
        <c:dLbls>
          <c:dLblPos val="outEnd"/>
          <c:showLegendKey val="0"/>
          <c:showVal val="1"/>
          <c:showCatName val="0"/>
          <c:showSerName val="0"/>
          <c:showPercent val="0"/>
          <c:showBubbleSize val="0"/>
        </c:dLbls>
        <c:gapWidth val="100"/>
        <c:overlap val="-15"/>
        <c:axId val="130328415"/>
        <c:axId val="258623503"/>
      </c:barChart>
      <c:catAx>
        <c:axId val="13032841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rebuchet MS" panose="020B0603020202020204" pitchFamily="34" charset="0"/>
                <a:ea typeface="+mn-ea"/>
                <a:cs typeface="+mn-cs"/>
              </a:defRPr>
            </a:pPr>
            <a:endParaRPr lang="es-MX"/>
          </a:p>
        </c:txPr>
        <c:crossAx val="258623503"/>
        <c:crosses val="autoZero"/>
        <c:auto val="1"/>
        <c:lblAlgn val="ctr"/>
        <c:lblOffset val="100"/>
        <c:noMultiLvlLbl val="0"/>
      </c:catAx>
      <c:valAx>
        <c:axId val="2586235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panose="020B0603020202020204" pitchFamily="34" charset="0"/>
                <a:ea typeface="+mn-ea"/>
                <a:cs typeface="+mn-cs"/>
              </a:defRPr>
            </a:pPr>
            <a:endParaRPr lang="es-MX"/>
          </a:p>
        </c:txPr>
        <c:crossAx val="130328415"/>
        <c:crosses val="autoZero"/>
        <c:crossBetween val="between"/>
      </c:valAx>
      <c:spPr>
        <a:noFill/>
        <a:ln>
          <a:noFill/>
        </a:ln>
        <a:effectLst/>
      </c:spPr>
    </c:plotArea>
    <c:legend>
      <c:legendPos val="t"/>
      <c:layout>
        <c:manualLayout>
          <c:xMode val="edge"/>
          <c:yMode val="edge"/>
          <c:x val="0.65058842592592603"/>
          <c:y val="2.3518518518518518E-2"/>
          <c:w val="0.34558217592592594"/>
          <c:h val="9.6105092592592603E-2"/>
        </c:manualLayout>
      </c:layout>
      <c:overlay val="1"/>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Graph!$C$9</c:f>
              <c:strCache>
                <c:ptCount val="1"/>
                <c:pt idx="0">
                  <c:v>PRODUCCIÓN</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EE05-48ED-B8AF-B4A71C82A4F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E05-48ED-B8AF-B4A71C82A4F5}"/>
              </c:ext>
            </c:extLst>
          </c:dPt>
          <c:dLbls>
            <c:dLbl>
              <c:idx val="0"/>
              <c:layout>
                <c:manualLayout>
                  <c:x val="2.3561813350550156E-2"/>
                  <c:y val="1.7638888888888888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E05-48ED-B8AF-B4A71C82A4F5}"/>
                </c:ext>
              </c:extLst>
            </c:dLbl>
            <c:dLbl>
              <c:idx val="3"/>
              <c:layout>
                <c:manualLayout>
                  <c:x val="0"/>
                  <c:y val="-2.3518518518518518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EE05-48ED-B8AF-B4A71C82A4F5}"/>
                </c:ext>
              </c:extLst>
            </c:dLbl>
            <c:dLbl>
              <c:idx val="4"/>
              <c:layout>
                <c:manualLayout>
                  <c:x val="8.8419415119725866E-3"/>
                  <c:y val="-1.7638888888888888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EE05-48ED-B8AF-B4A71C82A4F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rebuchet MS" panose="020B0603020202020204" pitchFamily="34" charset="0"/>
                    <a:ea typeface="+mn-ea"/>
                    <a:cs typeface="+mn-cs"/>
                  </a:defRPr>
                </a:pPr>
                <a:endParaRPr lang="es-MX"/>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Graph!$B$12:$B$16</c:f>
              <c:strCache>
                <c:ptCount val="5"/>
                <c:pt idx="0">
                  <c:v>COMPOSTA [Kg]</c:v>
                </c:pt>
                <c:pt idx="1">
                  <c:v>VERMICOMPOSTA [Kg]</c:v>
                </c:pt>
                <c:pt idx="2">
                  <c:v>LIXIVIADO [L]</c:v>
                </c:pt>
                <c:pt idx="3">
                  <c:v>NITRABOR LIQ [L]</c:v>
                </c:pt>
                <c:pt idx="4">
                  <c:v>MULTIROOT [L]</c:v>
                </c:pt>
              </c:strCache>
            </c:strRef>
          </c:cat>
          <c:val>
            <c:numRef>
              <c:f>Graph!$C$12:$C$16</c:f>
              <c:numCache>
                <c:formatCode>#,##0</c:formatCode>
                <c:ptCount val="5"/>
                <c:pt idx="0">
                  <c:v>850000</c:v>
                </c:pt>
                <c:pt idx="1">
                  <c:v>143000</c:v>
                </c:pt>
                <c:pt idx="2">
                  <c:v>282000</c:v>
                </c:pt>
                <c:pt idx="3">
                  <c:v>157000</c:v>
                </c:pt>
                <c:pt idx="4">
                  <c:v>37500</c:v>
                </c:pt>
              </c:numCache>
            </c:numRef>
          </c:val>
          <c:extLst>
            <c:ext xmlns:c16="http://schemas.microsoft.com/office/drawing/2014/chart" uri="{C3380CC4-5D6E-409C-BE32-E72D297353CC}">
              <c16:uniqueId val="{00000004-EE05-48ED-B8AF-B4A71C82A4F5}"/>
            </c:ext>
          </c:extLst>
        </c:ser>
        <c:ser>
          <c:idx val="1"/>
          <c:order val="1"/>
          <c:tx>
            <c:strRef>
              <c:f>Graph!$D$9</c:f>
              <c:strCache>
                <c:ptCount val="1"/>
                <c:pt idx="0">
                  <c:v>VENTA</c:v>
                </c:pt>
              </c:strCache>
            </c:strRef>
          </c:tx>
          <c:spPr>
            <a:solidFill>
              <a:srgbClr val="CCFF33"/>
            </a:solidFill>
            <a:ln>
              <a:noFill/>
            </a:ln>
            <a:effectLst/>
          </c:spPr>
          <c:invertIfNegative val="0"/>
          <c:dLbls>
            <c:dLbl>
              <c:idx val="0"/>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16012030770528088"/>
                      <c:h val="0.20196527777777779"/>
                    </c:manualLayout>
                  </c15:layout>
                </c:ext>
                <c:ext xmlns:c16="http://schemas.microsoft.com/office/drawing/2014/chart" uri="{C3380CC4-5D6E-409C-BE32-E72D297353CC}">
                  <c16:uniqueId val="{0000000B-EE05-48ED-B8AF-B4A71C82A4F5}"/>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rebuchet MS" panose="020B0603020202020204" pitchFamily="34" charset="0"/>
                      <a:ea typeface="+mn-ea"/>
                      <a:cs typeface="+mn-cs"/>
                    </a:defRPr>
                  </a:pPr>
                  <a:endParaRPr lang="es-MX"/>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14543049873997996"/>
                      <c:h val="0.10201157407407406"/>
                    </c:manualLayout>
                  </c15:layout>
                </c:ext>
                <c:ext xmlns:c16="http://schemas.microsoft.com/office/drawing/2014/chart" uri="{C3380CC4-5D6E-409C-BE32-E72D297353CC}">
                  <c16:uniqueId val="{0000000A-EE05-48ED-B8AF-B4A71C82A4F5}"/>
                </c:ext>
              </c:extLst>
            </c:dLbl>
            <c:dLbl>
              <c:idx val="4"/>
              <c:layout>
                <c:manualLayout>
                  <c:x val="4.1220882260041607E-2"/>
                  <c:y val="2.6079629629629522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EE05-48ED-B8AF-B4A71C82A4F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rebuchet MS" panose="020B0603020202020204" pitchFamily="34" charset="0"/>
                    <a:ea typeface="+mn-ea"/>
                    <a:cs typeface="+mn-cs"/>
                  </a:defRPr>
                </a:pPr>
                <a:endParaRPr lang="es-MX"/>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Graph!$B$12:$B$16</c:f>
              <c:strCache>
                <c:ptCount val="5"/>
                <c:pt idx="0">
                  <c:v>COMPOSTA [Kg]</c:v>
                </c:pt>
                <c:pt idx="1">
                  <c:v>VERMICOMPOSTA [Kg]</c:v>
                </c:pt>
                <c:pt idx="2">
                  <c:v>LIXIVIADO [L]</c:v>
                </c:pt>
                <c:pt idx="3">
                  <c:v>NITRABOR LIQ [L]</c:v>
                </c:pt>
                <c:pt idx="4">
                  <c:v>MULTIROOT [L]</c:v>
                </c:pt>
              </c:strCache>
            </c:strRef>
          </c:cat>
          <c:val>
            <c:numRef>
              <c:f>Graph!$D$12:$D$16</c:f>
              <c:numCache>
                <c:formatCode>#,##0</c:formatCode>
                <c:ptCount val="5"/>
                <c:pt idx="0">
                  <c:v>708030</c:v>
                </c:pt>
                <c:pt idx="1">
                  <c:v>94300</c:v>
                </c:pt>
                <c:pt idx="2">
                  <c:v>241004.375</c:v>
                </c:pt>
                <c:pt idx="3">
                  <c:v>157000</c:v>
                </c:pt>
                <c:pt idx="4">
                  <c:v>35260</c:v>
                </c:pt>
              </c:numCache>
            </c:numRef>
          </c:val>
          <c:extLst>
            <c:ext xmlns:c16="http://schemas.microsoft.com/office/drawing/2014/chart" uri="{C3380CC4-5D6E-409C-BE32-E72D297353CC}">
              <c16:uniqueId val="{00000006-EE05-48ED-B8AF-B4A71C82A4F5}"/>
            </c:ext>
          </c:extLst>
        </c:ser>
        <c:dLbls>
          <c:dLblPos val="outEnd"/>
          <c:showLegendKey val="0"/>
          <c:showVal val="1"/>
          <c:showCatName val="0"/>
          <c:showSerName val="0"/>
          <c:showPercent val="0"/>
          <c:showBubbleSize val="0"/>
        </c:dLbls>
        <c:gapWidth val="100"/>
        <c:overlap val="-15"/>
        <c:axId val="130328415"/>
        <c:axId val="258623503"/>
      </c:barChart>
      <c:catAx>
        <c:axId val="13032841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1140000" spcFirstLastPara="1" vertOverflow="ellipsis" wrap="square" anchor="ctr" anchorCtr="1"/>
          <a:lstStyle/>
          <a:p>
            <a:pPr>
              <a:defRPr sz="800" b="0" i="0" u="none" strike="noStrike" kern="1200" baseline="0">
                <a:solidFill>
                  <a:sysClr val="windowText" lastClr="000000"/>
                </a:solidFill>
                <a:latin typeface="Trebuchet MS" panose="020B0603020202020204" pitchFamily="34" charset="0"/>
                <a:ea typeface="+mn-ea"/>
                <a:cs typeface="+mn-cs"/>
              </a:defRPr>
            </a:pPr>
            <a:endParaRPr lang="es-MX"/>
          </a:p>
        </c:txPr>
        <c:crossAx val="258623503"/>
        <c:crosses val="autoZero"/>
        <c:auto val="1"/>
        <c:lblAlgn val="ctr"/>
        <c:lblOffset val="100"/>
        <c:noMultiLvlLbl val="0"/>
      </c:catAx>
      <c:valAx>
        <c:axId val="258623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panose="020B0603020202020204" pitchFamily="34" charset="0"/>
                <a:ea typeface="+mn-ea"/>
                <a:cs typeface="+mn-cs"/>
              </a:defRPr>
            </a:pPr>
            <a:endParaRPr lang="es-MX"/>
          </a:p>
        </c:txPr>
        <c:crossAx val="130328415"/>
        <c:crosses val="autoZero"/>
        <c:crossBetween val="between"/>
      </c:valAx>
      <c:spPr>
        <a:noFill/>
        <a:ln>
          <a:noFill/>
        </a:ln>
        <a:effectLst/>
      </c:spPr>
    </c:plotArea>
    <c:legend>
      <c:legendPos val="t"/>
      <c:layout>
        <c:manualLayout>
          <c:xMode val="edge"/>
          <c:yMode val="edge"/>
          <c:x val="0.636139508198166"/>
          <c:y val="2.3518518518518518E-2"/>
          <c:w val="0.3462183521479979"/>
          <c:h val="9.6105092592592603E-2"/>
        </c:manualLayout>
      </c:layout>
      <c:overlay val="1"/>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Graph!$C$9</c:f>
              <c:strCache>
                <c:ptCount val="1"/>
                <c:pt idx="0">
                  <c:v>PRODUCCIÓN</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E0A-494D-8064-AD8ED2295C71}"/>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DE0A-494D-8064-AD8ED2295C71}"/>
              </c:ext>
            </c:extLst>
          </c:dPt>
          <c:dLbls>
            <c:dLbl>
              <c:idx val="3"/>
              <c:layout>
                <c:manualLayout>
                  <c:x val="0"/>
                  <c:y val="-2.3518518518518518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E0A-494D-8064-AD8ED2295C71}"/>
                </c:ext>
              </c:extLst>
            </c:dLbl>
            <c:dLbl>
              <c:idx val="4"/>
              <c:layout>
                <c:manualLayout>
                  <c:x val="-5.884263487125849E-3"/>
                  <c:y val="-5.8796296296296296E-3"/>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E0A-494D-8064-AD8ED2295C7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s-MX"/>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Graph!$B$17:$B$20</c:f>
              <c:strCache>
                <c:ptCount val="4"/>
                <c:pt idx="0">
                  <c:v>MD-CITRI [L]</c:v>
                </c:pt>
                <c:pt idx="1">
                  <c:v>CT-CITRI [L]</c:v>
                </c:pt>
                <c:pt idx="2">
                  <c:v>CITROFOL-D [L]</c:v>
                </c:pt>
                <c:pt idx="3">
                  <c:v>JADAM [L]</c:v>
                </c:pt>
              </c:strCache>
            </c:strRef>
          </c:cat>
          <c:val>
            <c:numRef>
              <c:f>Graph!$C$17:$C$20</c:f>
              <c:numCache>
                <c:formatCode>#,##0</c:formatCode>
                <c:ptCount val="4"/>
                <c:pt idx="0">
                  <c:v>6000</c:v>
                </c:pt>
                <c:pt idx="1">
                  <c:v>14200</c:v>
                </c:pt>
                <c:pt idx="2">
                  <c:v>2000</c:v>
                </c:pt>
                <c:pt idx="3">
                  <c:v>2000</c:v>
                </c:pt>
              </c:numCache>
            </c:numRef>
          </c:val>
          <c:extLst>
            <c:ext xmlns:c16="http://schemas.microsoft.com/office/drawing/2014/chart" uri="{C3380CC4-5D6E-409C-BE32-E72D297353CC}">
              <c16:uniqueId val="{00000006-DE0A-494D-8064-AD8ED2295C71}"/>
            </c:ext>
          </c:extLst>
        </c:ser>
        <c:ser>
          <c:idx val="1"/>
          <c:order val="1"/>
          <c:tx>
            <c:strRef>
              <c:f>Graph!$D$9</c:f>
              <c:strCache>
                <c:ptCount val="1"/>
                <c:pt idx="0">
                  <c:v>VENTA</c:v>
                </c:pt>
              </c:strCache>
            </c:strRef>
          </c:tx>
          <c:spPr>
            <a:solidFill>
              <a:schemeClr val="accent5"/>
            </a:solidFill>
            <a:ln>
              <a:noFill/>
            </a:ln>
            <a:effectLst/>
          </c:spPr>
          <c:invertIfNegative val="0"/>
          <c:dLbls>
            <c:dLbl>
              <c:idx val="0"/>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16012030770528088"/>
                      <c:h val="0.20196527777777779"/>
                    </c:manualLayout>
                  </c15:layout>
                </c:ext>
                <c:ext xmlns:c16="http://schemas.microsoft.com/office/drawing/2014/chart" uri="{C3380CC4-5D6E-409C-BE32-E72D297353CC}">
                  <c16:uniqueId val="{00000007-DE0A-494D-8064-AD8ED2295C71}"/>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rebuchet MS" panose="020B0603020202020204" pitchFamily="34" charset="0"/>
                      <a:ea typeface="+mn-ea"/>
                      <a:cs typeface="+mn-cs"/>
                    </a:defRPr>
                  </a:pPr>
                  <a:endParaRPr lang="es-MX"/>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14543049873997996"/>
                      <c:h val="0.10201157407407406"/>
                    </c:manualLayout>
                  </c15:layout>
                </c:ext>
                <c:ext xmlns:c16="http://schemas.microsoft.com/office/drawing/2014/chart" uri="{C3380CC4-5D6E-409C-BE32-E72D297353CC}">
                  <c16:uniqueId val="{00000008-DE0A-494D-8064-AD8ED2295C71}"/>
                </c:ext>
              </c:extLst>
            </c:dLbl>
            <c:dLbl>
              <c:idx val="4"/>
              <c:layout>
                <c:manualLayout>
                  <c:x val="1.1768526974251374E-2"/>
                  <c:y val="2.607962962962963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DE0A-494D-8064-AD8ED2295C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rebuchet MS" panose="020B0603020202020204" pitchFamily="34" charset="0"/>
                    <a:ea typeface="+mn-ea"/>
                    <a:cs typeface="+mn-cs"/>
                  </a:defRPr>
                </a:pPr>
                <a:endParaRPr lang="es-MX"/>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Graph!$B$17:$B$20</c:f>
              <c:strCache>
                <c:ptCount val="4"/>
                <c:pt idx="0">
                  <c:v>MD-CITRI [L]</c:v>
                </c:pt>
                <c:pt idx="1">
                  <c:v>CT-CITRI [L]</c:v>
                </c:pt>
                <c:pt idx="2">
                  <c:v>CITROFOL-D [L]</c:v>
                </c:pt>
                <c:pt idx="3">
                  <c:v>JADAM [L]</c:v>
                </c:pt>
              </c:strCache>
            </c:strRef>
          </c:cat>
          <c:val>
            <c:numRef>
              <c:f>Graph!$D$17:$D$20</c:f>
              <c:numCache>
                <c:formatCode>#,##0</c:formatCode>
                <c:ptCount val="4"/>
                <c:pt idx="0">
                  <c:v>5460</c:v>
                </c:pt>
                <c:pt idx="1">
                  <c:v>13980</c:v>
                </c:pt>
                <c:pt idx="2">
                  <c:v>1400</c:v>
                </c:pt>
                <c:pt idx="3">
                  <c:v>1500</c:v>
                </c:pt>
              </c:numCache>
            </c:numRef>
          </c:val>
          <c:extLst>
            <c:ext xmlns:c16="http://schemas.microsoft.com/office/drawing/2014/chart" uri="{C3380CC4-5D6E-409C-BE32-E72D297353CC}">
              <c16:uniqueId val="{0000000A-DE0A-494D-8064-AD8ED2295C71}"/>
            </c:ext>
          </c:extLst>
        </c:ser>
        <c:dLbls>
          <c:dLblPos val="outEnd"/>
          <c:showLegendKey val="0"/>
          <c:showVal val="1"/>
          <c:showCatName val="0"/>
          <c:showSerName val="0"/>
          <c:showPercent val="0"/>
          <c:showBubbleSize val="0"/>
        </c:dLbls>
        <c:gapWidth val="100"/>
        <c:overlap val="-15"/>
        <c:axId val="130328415"/>
        <c:axId val="258623503"/>
      </c:barChart>
      <c:catAx>
        <c:axId val="130328415"/>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1140000" spcFirstLastPara="1" vertOverflow="ellipsis" wrap="square" anchor="ctr" anchorCtr="1"/>
          <a:lstStyle/>
          <a:p>
            <a:pPr>
              <a:defRPr sz="1000" b="0" i="0" u="none" strike="noStrike" kern="1200" baseline="0">
                <a:solidFill>
                  <a:sysClr val="windowText" lastClr="000000"/>
                </a:solidFill>
                <a:latin typeface="Trebuchet MS" panose="020B0603020202020204" pitchFamily="34" charset="0"/>
                <a:ea typeface="+mn-ea"/>
                <a:cs typeface="+mn-cs"/>
              </a:defRPr>
            </a:pPr>
            <a:endParaRPr lang="es-MX"/>
          </a:p>
        </c:txPr>
        <c:crossAx val="258623503"/>
        <c:crosses val="autoZero"/>
        <c:auto val="1"/>
        <c:lblAlgn val="ctr"/>
        <c:lblOffset val="100"/>
        <c:noMultiLvlLbl val="0"/>
      </c:catAx>
      <c:valAx>
        <c:axId val="258623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rebuchet MS" panose="020B0603020202020204" pitchFamily="34" charset="0"/>
                <a:ea typeface="+mn-ea"/>
                <a:cs typeface="+mn-cs"/>
              </a:defRPr>
            </a:pPr>
            <a:endParaRPr lang="es-MX"/>
          </a:p>
        </c:txPr>
        <c:crossAx val="130328415"/>
        <c:crosses val="autoZero"/>
        <c:crossBetween val="between"/>
      </c:valAx>
      <c:spPr>
        <a:noFill/>
        <a:ln>
          <a:noFill/>
        </a:ln>
        <a:effectLst/>
      </c:spPr>
    </c:plotArea>
    <c:legend>
      <c:legendPos val="t"/>
      <c:layout>
        <c:manualLayout>
          <c:xMode val="edge"/>
          <c:yMode val="edge"/>
          <c:x val="0.64497518820462241"/>
          <c:y val="1.1759259259259259E-2"/>
          <c:w val="0.3462183521479979"/>
          <c:h val="9.6105092592592603E-2"/>
        </c:manualLayout>
      </c:layout>
      <c:overlay val="1"/>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[Op_Agroecologia_2024_mc.xlsx]TD!TD2</c:name>
    <c:fmtId val="5"/>
  </c:pivotSource>
  <c:chart>
    <c:title>
      <c:tx>
        <c:strRef>
          <c:f/>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MX"/>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D4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93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79646">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7"/>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8"/>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9BBB59">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1"/>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2"/>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66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5"/>
        <c:spPr>
          <a:solidFill>
            <a:srgbClr val="CC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solidFill>
            <a:srgbClr val="5BD4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solidFill>
            <a:srgbClr val="F79646">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2"/>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3"/>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4"/>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5"/>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7"/>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8"/>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9"/>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0"/>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1"/>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2"/>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3"/>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1"/>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2"/>
        <c:spPr>
          <a:solidFill>
            <a:srgbClr val="EEECE1">
              <a:lumMod val="75000"/>
            </a:srgbClr>
          </a:solidFill>
          <a:ln>
            <a:solidFill>
              <a:srgbClr val="C0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3"/>
        <c:spPr>
          <a:solidFill>
            <a:srgbClr val="FF3300"/>
          </a:solidFill>
          <a:ln>
            <a:noFill/>
          </a:ln>
          <a:effectLst/>
        </c:spPr>
        <c:dLbl>
          <c:idx val="0"/>
          <c:layout>
            <c:manualLayout>
              <c:x val="3.7748015873015871E-4"/>
              <c:y val="-5.5868390804597788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392857142857142"/>
                  <c:h val="0.12413793103448276"/>
                </c:manualLayout>
              </c15:layout>
            </c:ext>
          </c:extLst>
        </c:dLbl>
      </c:pivotFmt>
      <c:pivotFmt>
        <c:idx val="64"/>
        <c:spPr>
          <a:solidFill>
            <a:srgbClr val="9BBB59">
              <a:lumMod val="75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5"/>
                  <c:h val="0.11724137931034483"/>
                </c:manualLayout>
              </c15:layout>
            </c:ext>
          </c:extLst>
        </c:dLbl>
      </c:pivotFmt>
      <c:pivotFmt>
        <c:idx val="65"/>
        <c:spPr>
          <a:solidFill>
            <a:srgbClr val="9BBB59"/>
          </a:solidFill>
          <a:ln>
            <a:noFill/>
          </a:ln>
          <a:effectLst/>
        </c:spPr>
        <c:dLbl>
          <c:idx val="0"/>
          <c:layout>
            <c:manualLayout>
              <c:x val="2.0996403769841269E-3"/>
              <c:y val="0.11109310344827578"/>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714285714285712"/>
                  <c:h val="0.12413793103448276"/>
                </c:manualLayout>
              </c15:layout>
            </c:ext>
          </c:extLst>
        </c:dLbl>
      </c:pivotFmt>
      <c:pivotFmt>
        <c:idx val="66"/>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8"/>
        <c:spPr>
          <a:solidFill>
            <a:srgbClr val="EEECE1">
              <a:lumMod val="75000"/>
            </a:srgbClr>
          </a:solidFill>
          <a:ln>
            <a:solidFill>
              <a:srgbClr val="C0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9"/>
        <c:spPr>
          <a:solidFill>
            <a:srgbClr val="EEECE1">
              <a:lumMod val="75000"/>
            </a:srgbClr>
          </a:solidFill>
          <a:ln>
            <a:solidFill>
              <a:srgbClr val="FF0000"/>
            </a:solidFill>
          </a:ln>
          <a:effectLst/>
        </c:spPr>
        <c:dLbl>
          <c:idx val="0"/>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8764880952380956E-2"/>
                  <c:h val="0.14603448275862069"/>
                </c:manualLayout>
              </c15:layout>
            </c:ext>
          </c:extLst>
        </c:dLbl>
      </c:pivotFmt>
      <c:pivotFmt>
        <c:idx val="70"/>
        <c:spPr>
          <a:solidFill>
            <a:srgbClr val="92D050"/>
          </a:solidFill>
          <a:ln>
            <a:noFill/>
          </a:ln>
          <a:effectLst/>
        </c:spPr>
        <c:dLbl>
          <c:idx val="0"/>
          <c:layout>
            <c:manualLayout>
              <c:x val="3.146825396825397E-3"/>
              <c:y val="0.12252777777777778"/>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1160714285714286"/>
                  <c:h val="0.12413793103448276"/>
                </c:manualLayout>
              </c15:layout>
            </c:ext>
          </c:extLst>
        </c:dLbl>
      </c:pivotFmt>
      <c:pivotFmt>
        <c:idx val="71"/>
        <c:spPr>
          <a:solidFill>
            <a:srgbClr val="FF99FF"/>
          </a:solidFill>
          <a:ln>
            <a:noFill/>
          </a:ln>
          <a:effectLst/>
        </c:spPr>
        <c:dLbl>
          <c:idx val="0"/>
          <c:layout>
            <c:manualLayout>
              <c:x val="1.749875992063492E-3"/>
              <c:y val="0.1200950191570881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8214285714285712E-2"/>
                  <c:h val="0.12413793103448276"/>
                </c:manualLayout>
              </c15:layout>
            </c:ext>
          </c:extLst>
        </c:dLbl>
      </c:pivotFmt>
      <c:pivotFmt>
        <c:idx val="72"/>
        <c:spPr>
          <a:solidFill>
            <a:srgbClr val="FF0000"/>
          </a:solidFill>
          <a:ln>
            <a:noFill/>
          </a:ln>
          <a:effectLst/>
        </c:spPr>
        <c:dLbl>
          <c:idx val="0"/>
          <c:layout>
            <c:manualLayout>
              <c:x val="7.0262896825396828E-4"/>
              <c:y val="8.8045977011494251E-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8214285714285712E-2"/>
                  <c:h val="0.12413793103448276"/>
                </c:manualLayout>
              </c15:layout>
            </c:ext>
          </c:extLst>
        </c:dLbl>
      </c:pivotFmt>
      <c:pivotFmt>
        <c:idx val="73"/>
        <c:spPr>
          <a:solidFill>
            <a:srgbClr val="EEECE1">
              <a:lumMod val="75000"/>
            </a:srgbClr>
          </a:solidFill>
          <a:ln>
            <a:solidFill>
              <a:srgbClr val="C00000"/>
            </a:solidFill>
          </a:ln>
          <a:effectLst/>
        </c:spPr>
        <c:dLbl>
          <c:idx val="0"/>
          <c:layout>
            <c:manualLayout>
              <c:x val="1.1946924603173448E-3"/>
              <c:y val="-5.9943295019157176E-2"/>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2465277777777776E-2"/>
                  <c:h val="0.12413793103448276"/>
                </c:manualLayout>
              </c15:layout>
            </c:ext>
          </c:extLst>
        </c:dLbl>
      </c:pivotFmt>
      <c:pivotFmt>
        <c:idx val="74"/>
        <c:spPr>
          <a:solidFill>
            <a:srgbClr val="EEECE1">
              <a:lumMod val="75000"/>
            </a:srgbClr>
          </a:solidFill>
          <a:ln>
            <a:solidFill>
              <a:srgbClr val="C00000"/>
            </a:solidFill>
          </a:ln>
          <a:effectLst/>
        </c:spPr>
        <c:dLbl>
          <c:idx val="0"/>
          <c:layout>
            <c:manualLayout>
              <c:x val="7.8745039682539576E-4"/>
              <c:y val="-6.0822796934866512E-3"/>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C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3801091269841277E-2"/>
                  <c:h val="0.1653189655172414"/>
                </c:manualLayout>
              </c15:layout>
            </c:ext>
          </c:extLst>
        </c:dLbl>
      </c:pivotFmt>
      <c:pivotFmt>
        <c:idx val="75"/>
        <c:spPr>
          <a:solidFill>
            <a:srgbClr val="FF9900"/>
          </a:solidFill>
          <a:ln>
            <a:noFill/>
          </a:ln>
          <a:effectLst/>
        </c:spPr>
        <c:dLbl>
          <c:idx val="0"/>
          <c:layout>
            <c:manualLayout>
              <c:x val="-7.6271701388889463E-3"/>
              <c:y val="8.96551724137039E-5"/>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10689484126984"/>
                  <c:h val="0.12413793103448276"/>
                </c:manualLayout>
              </c15:layout>
            </c:ext>
          </c:extLst>
        </c:dLbl>
      </c:pivotFmt>
      <c:pivotFmt>
        <c:idx val="7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7"/>
        <c:spPr>
          <a:solidFill>
            <a:srgbClr val="5BD4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8"/>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9"/>
        <c:spPr>
          <a:solidFill>
            <a:srgbClr val="0070C0"/>
          </a:solidFill>
          <a:ln>
            <a:noFill/>
          </a:ln>
          <a:effectLst/>
        </c:spPr>
        <c:dLbl>
          <c:idx val="0"/>
          <c:layout>
            <c:manualLayout>
              <c:x val="1.6344246031746031E-3"/>
              <c:y val="-5.586819923371656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05357142857143"/>
                  <c:h val="0.12413793103448276"/>
                </c:manualLayout>
              </c15:layout>
            </c:ext>
          </c:extLst>
        </c:dLbl>
      </c:pivotFmt>
      <c:pivotFmt>
        <c:idx val="80"/>
        <c:spPr>
          <a:solidFill>
            <a:srgbClr val="5BD4FF"/>
          </a:solidFill>
          <a:ln>
            <a:noFill/>
          </a:ln>
          <a:effectLst/>
        </c:spPr>
        <c:dLbl>
          <c:idx val="0"/>
          <c:layout>
            <c:manualLayout>
              <c:x val="1.1235119047617894E-3"/>
              <c:y val="4.852394636015317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267857142857142"/>
                  <c:h val="0.11724137931034483"/>
                </c:manualLayout>
              </c15:layout>
            </c:ext>
          </c:extLst>
        </c:dLbl>
      </c:pivotFmt>
      <c:pivotFmt>
        <c:idx val="81"/>
        <c:spPr>
          <a:solidFill>
            <a:srgbClr val="EEECE1">
              <a:lumMod val="75000"/>
            </a:srgbClr>
          </a:solidFill>
          <a:ln>
            <a:solidFill>
              <a:srgbClr val="FF0000"/>
            </a:solidFill>
          </a:ln>
          <a:effectLst/>
        </c:spPr>
        <c:dLbl>
          <c:idx val="0"/>
          <c:layout>
            <c:manualLayout>
              <c:x val="7.1278521825396818E-3"/>
              <c:y val="-3.3620689655180711E-4"/>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7.5905257936507931E-2"/>
                  <c:h val="0.15090038314176246"/>
                </c:manualLayout>
              </c15:layout>
            </c:ext>
          </c:extLst>
        </c:dLbl>
      </c:pivotFmt>
      <c:pivotFmt>
        <c:idx val="82"/>
        <c:spPr>
          <a:solidFill>
            <a:srgbClr val="EEECE1">
              <a:lumMod val="75000"/>
            </a:srgbClr>
          </a:solidFill>
          <a:ln>
            <a:solidFill>
              <a:srgbClr val="FF0000"/>
            </a:solidFill>
          </a:ln>
          <a:effectLst/>
        </c:spPr>
        <c:dLbl>
          <c:idx val="0"/>
          <c:layout>
            <c:manualLayout>
              <c:x val="-2.8872847675331054E-17"/>
              <c:y val="-9.7318007662836135E-3"/>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9285714285714288E-2"/>
                  <c:h val="0.12413793103448276"/>
                </c:manualLayout>
              </c15:layout>
            </c:ext>
          </c:extLst>
        </c:dLbl>
      </c:pivotFmt>
      <c:pivotFmt>
        <c:idx val="83"/>
        <c:spPr>
          <a:solidFill>
            <a:srgbClr val="00B050"/>
          </a:solidFill>
          <a:ln>
            <a:noFill/>
          </a:ln>
          <a:effectLst/>
        </c:spPr>
        <c:dLbl>
          <c:idx val="0"/>
          <c:layout>
            <c:manualLayout>
              <c:x val="-1.515376984126984E-3"/>
              <c:y val="5.3614367816091954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05357142857143"/>
                  <c:h val="0.12413793103448276"/>
                </c:manualLayout>
              </c15:layout>
            </c:ext>
          </c:extLst>
        </c:dLbl>
      </c:pivotFmt>
      <c:pivotFmt>
        <c:idx val="84"/>
        <c:spPr>
          <a:solidFill>
            <a:srgbClr val="F79646"/>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10714285714285712"/>
                  <c:h val="0.12413793103448276"/>
                </c:manualLayout>
              </c15:layout>
            </c:ext>
          </c:extLst>
        </c:dLbl>
      </c:pivotFmt>
      <c:pivotFmt>
        <c:idx val="85"/>
        <c:spPr>
          <a:solidFill>
            <a:srgbClr val="F79646">
              <a:lumMod val="75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1726698908730158"/>
                  <c:h val="0.11724137931034483"/>
                </c:manualLayout>
              </c15:layout>
            </c:ext>
          </c:extLst>
        </c:dLbl>
      </c:pivotFmt>
      <c:pivotFmt>
        <c:idx val="86"/>
        <c:spPr>
          <a:solidFill>
            <a:srgbClr val="EEECE1">
              <a:lumMod val="75000"/>
            </a:srgbClr>
          </a:solidFill>
          <a:ln>
            <a:solidFill>
              <a:srgbClr val="FF0000"/>
            </a:solidFill>
          </a:ln>
          <a:effectLst/>
        </c:spPr>
        <c:dLbl>
          <c:idx val="0"/>
          <c:layout>
            <c:manualLayout>
              <c:x val="-3.937251984126984E-3"/>
              <c:y val="-4.8659003831418518E-3"/>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C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3489583333333334E-2"/>
                  <c:h val="0.12413793103448276"/>
                </c:manualLayout>
              </c15:layout>
            </c:ext>
          </c:extLst>
        </c:dLbl>
      </c:pivotFmt>
      <c:pivotFmt>
        <c:idx val="87"/>
        <c:spPr>
          <a:solidFill>
            <a:srgbClr val="EEECE1">
              <a:lumMod val="75000"/>
            </a:srgbClr>
          </a:solidFill>
          <a:ln>
            <a:solidFill>
              <a:srgbClr val="FF0000"/>
            </a:solidFill>
          </a:ln>
          <a:effectLst/>
        </c:spPr>
        <c:dLbl>
          <c:idx val="0"/>
          <c:layout>
            <c:manualLayout>
              <c:x val="1.1780753968253968E-3"/>
              <c:y val="-4.8659003831416732E-3"/>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375E-2"/>
                  <c:h val="0.12413793103448276"/>
                </c:manualLayout>
              </c15:layout>
            </c:ext>
          </c:extLst>
        </c:dLbl>
      </c:pivotFmt>
      <c:pivotFmt>
        <c:idx val="88"/>
        <c:spPr>
          <a:solidFill>
            <a:srgbClr val="990000"/>
          </a:solidFill>
          <a:ln>
            <a:noFill/>
          </a:ln>
          <a:effectLst/>
        </c:spPr>
        <c:dLbl>
          <c:idx val="0"/>
          <c:layout>
            <c:manualLayout>
              <c:x val="-5.7745695350662108E-17"/>
              <c:y val="-2.919540229885057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5"/>
                  <c:h val="0.12413793103448276"/>
                </c:manualLayout>
              </c15:layout>
            </c:ext>
          </c:extLst>
        </c:dLbl>
      </c:pivotFmt>
      <c:pivotFmt>
        <c:idx val="89"/>
        <c:spPr>
          <a:solidFill>
            <a:srgbClr val="FF3399"/>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05357142857143"/>
                  <c:h val="0.11724137931034483"/>
                </c:manualLayout>
              </c15:layout>
            </c:ext>
          </c:extLst>
        </c:dLbl>
      </c:pivotFmt>
      <c:pivotFmt>
        <c:idx val="90"/>
        <c:spPr>
          <a:solidFill>
            <a:srgbClr val="8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91"/>
        <c:spPr>
          <a:solidFill>
            <a:srgbClr val="CC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92"/>
        <c:spPr>
          <a:solidFill>
            <a:srgbClr val="EEECE1">
              <a:lumMod val="75000"/>
            </a:srgb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93"/>
        <c:spPr>
          <a:solidFill>
            <a:srgbClr val="808000"/>
          </a:solidFill>
          <a:ln>
            <a:noFill/>
          </a:ln>
          <a:effectLst/>
        </c:spPr>
        <c:dLbl>
          <c:idx val="0"/>
          <c:layout>
            <c:manualLayout>
              <c:x val="1.3386780753968139E-2"/>
              <c:y val="-2.5545881226053641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8.3020833333333335E-2"/>
                  <c:h val="0.15643869731800764"/>
                </c:manualLayout>
              </c15:layout>
            </c:ext>
          </c:extLst>
        </c:dLbl>
      </c:pivotFmt>
      <c:pivotFmt>
        <c:idx val="94"/>
        <c:spPr>
          <a:solidFill>
            <a:srgbClr val="CCCC00"/>
          </a:solidFill>
          <a:ln>
            <a:noFill/>
          </a:ln>
          <a:effectLst/>
        </c:spPr>
        <c:dLbl>
          <c:idx val="0"/>
          <c:layout>
            <c:manualLayout>
              <c:x val="1.7323970734126982E-2"/>
              <c:y val="-1.703055555555564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9.2226190476190462E-2"/>
                  <c:h val="0.13287796934865898"/>
                </c:manualLayout>
              </c15:layout>
            </c:ext>
          </c:extLst>
        </c:dLbl>
      </c:pivotFmt>
      <c:pivotFmt>
        <c:idx val="95"/>
        <c:spPr>
          <a:solidFill>
            <a:srgbClr val="EEECE1">
              <a:lumMod val="75000"/>
            </a:srgbClr>
          </a:solidFill>
          <a:ln>
            <a:solidFill>
              <a:srgbClr val="C00000"/>
            </a:solidFill>
          </a:ln>
          <a:effectLst/>
        </c:spPr>
        <c:dLbl>
          <c:idx val="0"/>
          <c:layout>
            <c:manualLayout>
              <c:x val="2.8348276289682655E-2"/>
              <c:y val="-8.9207143162402159E-17"/>
            </c:manualLayout>
          </c:layout>
          <c:spPr>
            <a:solidFill>
              <a:srgbClr val="EEECE1"/>
            </a:solid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rgbClr val="C00000"/>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8.3304315476190466E-2"/>
                  <c:h val="0.15984885057471265"/>
                </c:manualLayout>
              </c15:layout>
            </c:ext>
          </c:extLst>
        </c:dLbl>
      </c:pivotFmt>
      <c:pivotFmt>
        <c:idx val="96"/>
        <c:spPr>
          <a:solidFill>
            <a:srgbClr val="9BBB59">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97"/>
        <c:spPr>
          <a:solidFill>
            <a:srgbClr val="9BBB59">
              <a:lumMod val="75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5"/>
                  <c:h val="0.11724137931034483"/>
                </c:manualLayout>
              </c15:layout>
            </c:ext>
          </c:extLst>
        </c:dLbl>
      </c:pivotFmt>
      <c:pivotFmt>
        <c:idx val="98"/>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99"/>
        <c:spPr>
          <a:solidFill>
            <a:srgbClr val="9BBB59"/>
          </a:solidFill>
          <a:ln>
            <a:noFill/>
          </a:ln>
          <a:effectLst/>
        </c:spPr>
        <c:dLbl>
          <c:idx val="0"/>
          <c:layout>
            <c:manualLayout>
              <c:x val="2.0996403769841269E-3"/>
              <c:y val="0.11109310344827578"/>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714285714285712"/>
                  <c:h val="0.12413793103448276"/>
                </c:manualLayout>
              </c15:layout>
            </c:ext>
          </c:extLst>
        </c:dLbl>
      </c:pivotFmt>
      <c:pivotFmt>
        <c:idx val="100"/>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1"/>
        <c:spPr>
          <a:solidFill>
            <a:srgbClr val="EEECE1">
              <a:lumMod val="75000"/>
            </a:srgbClr>
          </a:solidFill>
          <a:ln>
            <a:solidFill>
              <a:srgbClr val="FF0000"/>
            </a:solidFill>
          </a:ln>
          <a:effectLst/>
        </c:spPr>
        <c:dLbl>
          <c:idx val="0"/>
          <c:layout>
            <c:manualLayout>
              <c:x val="1.1780753968253968E-3"/>
              <c:y val="-4.8659003831416732E-3"/>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375E-2"/>
                  <c:h val="0.12413793103448276"/>
                </c:manualLayout>
              </c15:layout>
            </c:ext>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rgbClr val="9BBB59">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36"/>
        <c:spPr>
          <a:solidFill>
            <a:srgbClr val="9BBB59">
              <a:lumMod val="75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5"/>
                  <c:h val="0.11724137931034483"/>
                </c:manualLayout>
              </c15:layout>
            </c:ext>
          </c:extLst>
        </c:dLbl>
      </c:pivotFmt>
      <c:pivotFmt>
        <c:idx val="137"/>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MX"/>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38"/>
        <c:spPr>
          <a:solidFill>
            <a:srgbClr val="9BBB59"/>
          </a:solidFill>
          <a:ln>
            <a:noFill/>
          </a:ln>
          <a:effectLst/>
        </c:spPr>
        <c:dLbl>
          <c:idx val="0"/>
          <c:layout>
            <c:manualLayout>
              <c:x val="2.0996403769841269E-3"/>
              <c:y val="0.11109310344827578"/>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714285714285712"/>
                  <c:h val="0.12413793103448276"/>
                </c:manualLayout>
              </c15:layout>
            </c:ext>
          </c:extLst>
        </c:dLbl>
      </c:pivotFmt>
      <c:pivotFmt>
        <c:idx val="139"/>
        <c:spPr>
          <a:solidFill>
            <a:srgbClr val="EEECE1">
              <a:lumMod val="75000"/>
            </a:srgbClr>
          </a:solidFill>
          <a:ln>
            <a:solidFill>
              <a:srgbClr val="FF0000"/>
            </a:solidFill>
          </a:ln>
          <a:effectLst/>
        </c:spPr>
        <c:marker>
          <c:symbol val="none"/>
        </c:marker>
        <c:dLbl>
          <c:idx val="0"/>
          <c:spPr>
            <a:solidFill>
              <a:srgbClr val="EEECE1">
                <a:lumMod val="9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40"/>
        <c:spPr>
          <a:solidFill>
            <a:srgbClr val="EEECE1">
              <a:lumMod val="75000"/>
            </a:srgbClr>
          </a:solidFill>
          <a:ln>
            <a:solidFill>
              <a:srgbClr val="FF0000"/>
            </a:solidFill>
          </a:ln>
          <a:effectLst/>
        </c:spPr>
        <c:dLbl>
          <c:idx val="0"/>
          <c:layout>
            <c:manualLayout>
              <c:x val="1.1780753968253968E-3"/>
              <c:y val="-4.8659003831416732E-3"/>
            </c:manualLayout>
          </c:layout>
          <c:spPr>
            <a:solidFill>
              <a:srgbClr val="EEECE1">
                <a:lumMod val="90000"/>
              </a:srgbClr>
            </a:solid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rgbClr val="FF0000"/>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375E-2"/>
                  <c:h val="0.12413793103448276"/>
                </c:manualLayout>
              </c15:layout>
            </c:ext>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75"/>
        <c:spPr>
          <a:solidFill>
            <a:schemeClr val="accent1">
              <a:lumMod val="80000"/>
              <a:lumOff val="20000"/>
            </a:schemeClr>
          </a:solidFill>
          <a:ln>
            <a:noFill/>
          </a:ln>
          <a:effectLst/>
        </c:spPr>
      </c:pivotFmt>
      <c:pivotFmt>
        <c:idx val="176"/>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lumMod val="80000"/>
              <a:lumOff val="20000"/>
            </a:schemeClr>
          </a:solidFill>
          <a:ln>
            <a:noFill/>
          </a:ln>
          <a:effectLst/>
        </c:spPr>
      </c:pivotFmt>
      <c:pivotFmt>
        <c:idx val="178"/>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79"/>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1523086419753088E-2"/>
                  <c:h val="0.13048524904214559"/>
                </c:manualLayout>
              </c15:layout>
            </c:ext>
          </c:extLst>
        </c:dLbl>
      </c:pivotFmt>
      <c:pivotFmt>
        <c:idx val="180"/>
        <c:spPr>
          <a:solidFill>
            <a:srgbClr val="FF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8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86"/>
        <c:spPr>
          <a:solidFill>
            <a:srgbClr val="9BBB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rgbClr val="99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89"/>
        <c:spPr>
          <a:solidFill>
            <a:srgbClr val="4BACC6">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90"/>
        <c:spPr>
          <a:solidFill>
            <a:srgbClr val="4BAC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91"/>
        <c:spPr>
          <a:solidFill>
            <a:srgbClr val="EEECE1">
              <a:lumMod val="75000"/>
            </a:srgb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92"/>
        <c:spPr>
          <a:solidFill>
            <a:srgbClr val="CC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9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rgbClr val="4BACC6">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98"/>
        <c:spPr>
          <a:solidFill>
            <a:srgbClr val="9BBB59">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rgbClr val="9BBB59">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01"/>
        <c:spPr>
          <a:solidFill>
            <a:srgbClr val="F79646">
              <a:lumMod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02"/>
        <c:spPr>
          <a:solidFill>
            <a:srgbClr val="F796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03"/>
        <c:spPr>
          <a:solidFill>
            <a:srgbClr val="EEECE1">
              <a:lumMod val="50000"/>
            </a:srgbClr>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04"/>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rgbClr val="CC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07"/>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rgbClr val="EEECE1">
              <a:lumMod val="50000"/>
            </a:srgbClr>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1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rgbClr val="EEECE1">
              <a:lumMod val="75000"/>
            </a:srgbClr>
          </a:solidFill>
          <a:ln w="1270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13"/>
        <c:spPr>
          <a:solidFill>
            <a:srgbClr val="4BACC6">
              <a:lumMod val="75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008876543209877"/>
                  <c:h val="0.13940804597701151"/>
                </c:manualLayout>
              </c15:layout>
            </c:ext>
          </c:extLst>
        </c:dLbl>
      </c:pivotFmt>
      <c:pivotFmt>
        <c:idx val="214"/>
        <c:spPr>
          <a:solidFill>
            <a:srgbClr val="4BACC6"/>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349716049382715"/>
                  <c:h val="0.11507854406130268"/>
                </c:manualLayout>
              </c15:layout>
            </c:ext>
          </c:extLst>
        </c:dLbl>
      </c:pivotFmt>
      <c:pivotFmt>
        <c:idx val="215"/>
        <c:spPr>
          <a:solidFill>
            <a:srgbClr val="EEECE1">
              <a:lumMod val="50000"/>
            </a:srgbClr>
          </a:solidFill>
          <a:ln w="12700">
            <a:solidFill>
              <a:srgbClr val="C0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9067777777777782E-2"/>
                  <c:h val="0.15157279693486589"/>
                </c:manualLayout>
              </c15:layout>
            </c:ext>
          </c:extLst>
        </c:dLbl>
      </c:pivotFmt>
      <c:pivotFmt>
        <c:idx val="216"/>
        <c:spPr>
          <a:solidFill>
            <a:srgbClr val="F79646">
              <a:lumMod val="75000"/>
            </a:srgb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4743765432098765"/>
                  <c:h val="0.13697509578544062"/>
                </c:manualLayout>
              </c15:layout>
            </c:ext>
          </c:extLst>
        </c:dLbl>
      </c:pivotFmt>
      <c:pivotFmt>
        <c:idx val="217"/>
        <c:spPr>
          <a:solidFill>
            <a:srgbClr val="F79646"/>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623962962962962"/>
                  <c:h val="0.12237739463601532"/>
                </c:manualLayout>
              </c15:layout>
            </c:ext>
          </c:extLst>
        </c:dLbl>
      </c:pivotFmt>
      <c:pivotFmt>
        <c:idx val="218"/>
        <c:spPr>
          <a:solidFill>
            <a:srgbClr val="EEECE1">
              <a:lumMod val="50000"/>
            </a:srgbClr>
          </a:solidFill>
          <a:ln w="12700">
            <a:solidFill>
              <a:srgbClr val="C0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1263024691358023"/>
                  <c:h val="0.13940804597701151"/>
                </c:manualLayout>
              </c15:layout>
            </c:ext>
          </c:extLst>
        </c:dLbl>
      </c:pivotFmt>
      <c:pivotFmt>
        <c:idx val="219"/>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944135802469135"/>
                  <c:h val="0.14184099616858237"/>
                </c:manualLayout>
              </c15:layout>
            </c:ext>
          </c:extLst>
        </c:dLbl>
      </c:pivotFmt>
      <c:pivotFmt>
        <c:idx val="220"/>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0.10166271604938272"/>
                  <c:h val="7.9435823754789275E-2"/>
                </c:manualLayout>
              </c15:layout>
            </c:ext>
          </c:extLst>
        </c:dLbl>
      </c:pivotFmt>
      <c:pivotFmt>
        <c:idx val="221"/>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0.11819617283950619"/>
                  <c:h val="0.13454214559386971"/>
                </c:manualLayout>
              </c15:layout>
            </c:ext>
          </c:extLst>
        </c:dLbl>
      </c:pivotFmt>
      <c:pivotFmt>
        <c:idx val="222"/>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311938271604937"/>
                  <c:h val="9.1600574712643684E-2"/>
                </c:manualLayout>
              </c15:layout>
            </c:ext>
          </c:extLst>
        </c:dLbl>
      </c:pivotFmt>
      <c:pivotFmt>
        <c:idx val="223"/>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12864197530864"/>
                  <c:h val="0.12079597701149425"/>
                </c:manualLayout>
              </c15:layout>
            </c:ext>
          </c:extLst>
        </c:dLbl>
      </c:pivotFmt>
      <c:pivotFmt>
        <c:idx val="224"/>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20358024691358E-2"/>
                  <c:h val="0.12326973180076628"/>
                </c:manualLayout>
              </c15:layout>
            </c:ext>
          </c:extLst>
        </c:dLbl>
      </c:pivotFmt>
      <c:pivotFmt>
        <c:idx val="225"/>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2012222222222217E-2"/>
                  <c:h val="0.13454214559386971"/>
                </c:manualLayout>
              </c15:layout>
            </c:ext>
          </c:extLst>
        </c:dLbl>
      </c:pivotFmt>
      <c:pivotFmt>
        <c:idx val="226"/>
        <c:spPr>
          <a:solidFill>
            <a:srgbClr val="EEECE1">
              <a:lumMod val="75000"/>
            </a:srgbClr>
          </a:solidFill>
          <a:ln w="12700">
            <a:solidFill>
              <a:srgbClr val="FF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8824814814814824E-2"/>
                  <c:h val="0.13782662835249043"/>
                </c:manualLayout>
              </c15:layout>
            </c:ext>
          </c:extLst>
        </c:dLbl>
      </c:pivotFmt>
      <c:pivotFmt>
        <c:idx val="227"/>
        <c:spPr>
          <a:solidFill>
            <a:srgbClr val="EEECE1">
              <a:lumMod val="50000"/>
            </a:srgbClr>
          </a:solidFill>
          <a:ln w="12700">
            <a:solidFill>
              <a:srgbClr val="C00000"/>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9041111111111113E-2"/>
                  <c:h val="0.16458908045977008"/>
                </c:manualLayout>
              </c15:layout>
            </c:ext>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5"/>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spPr>
          <a:solidFill>
            <a:schemeClr val="accent1"/>
          </a:solidFill>
          <a:ln>
            <a:noFill/>
          </a:ln>
          <a:effectLst/>
        </c:spPr>
      </c:pivotFmt>
      <c:pivotFmt>
        <c:idx val="724"/>
        <c:spPr>
          <a:solidFill>
            <a:schemeClr val="accent1"/>
          </a:solidFill>
          <a:ln>
            <a:noFill/>
          </a:ln>
          <a:effectLst/>
        </c:spPr>
      </c:pivotFmt>
      <c:pivotFmt>
        <c:idx val="725"/>
        <c:spPr>
          <a:solidFill>
            <a:schemeClr val="accent1"/>
          </a:solidFill>
          <a:ln>
            <a:noFill/>
          </a:ln>
          <a:effectLst/>
        </c:spPr>
      </c:pivotFmt>
      <c:pivotFmt>
        <c:idx val="726"/>
        <c:spPr>
          <a:solidFill>
            <a:schemeClr val="accent1"/>
          </a:solidFill>
          <a:ln>
            <a:noFill/>
          </a:ln>
          <a:effectLst/>
        </c:spPr>
      </c:pivotFmt>
      <c:pivotFmt>
        <c:idx val="727"/>
        <c:spPr>
          <a:solidFill>
            <a:schemeClr val="accent1"/>
          </a:solidFill>
          <a:ln>
            <a:noFill/>
          </a:ln>
          <a:effectLst/>
        </c:spPr>
      </c:pivotFmt>
      <c:pivotFmt>
        <c:idx val="728"/>
        <c:spPr>
          <a:solidFill>
            <a:schemeClr val="accent1"/>
          </a:solidFill>
          <a:ln>
            <a:noFill/>
          </a:ln>
          <a:effectLst/>
        </c:spPr>
      </c:pivotFmt>
      <c:pivotFmt>
        <c:idx val="729"/>
        <c:spPr>
          <a:solidFill>
            <a:schemeClr val="accent1"/>
          </a:solidFill>
          <a:ln>
            <a:noFill/>
          </a:ln>
          <a:effectLst/>
        </c:spPr>
      </c:pivotFmt>
      <c:pivotFmt>
        <c:idx val="7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1"/>
      </c:pivotFmt>
      <c:pivotFmt>
        <c:idx val="732"/>
      </c:pivotFmt>
      <c:pivotFmt>
        <c:idx val="733"/>
      </c:pivotFmt>
      <c:pivotFmt>
        <c:idx val="734"/>
      </c:pivotFmt>
      <c:pivotFmt>
        <c:idx val="735"/>
      </c:pivotFmt>
      <c:pivotFmt>
        <c:idx val="736"/>
      </c:pivotFmt>
      <c:pivotFmt>
        <c:idx val="737"/>
      </c:pivotFmt>
    </c:pivotFmts>
    <c:plotArea>
      <c:layout/>
      <c:barChart>
        <c:barDir val="col"/>
        <c:grouping val="clustered"/>
        <c:varyColors val="0"/>
        <c:ser>
          <c:idx val="0"/>
          <c:order val="0"/>
          <c:tx>
            <c:strRef>
              <c:f>TD!$C$83:$C$85</c:f>
              <c:strCache>
                <c:ptCount val="1"/>
                <c:pt idx="0">
                  <c:v>2023</c:v>
                </c:pt>
              </c:strCache>
            </c:strRef>
          </c:tx>
          <c:spPr>
            <a:solidFill>
              <a:schemeClr val="accent1"/>
            </a:solidFill>
            <a:ln>
              <a:noFill/>
            </a:ln>
            <a:effectLst/>
          </c:spPr>
          <c:invertIfNegative val="0"/>
          <c:dPt>
            <c:idx val="0"/>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01-7B2A-49DF-B2B4-C0645341A40D}"/>
              </c:ext>
            </c:extLst>
          </c:dPt>
          <c:dPt>
            <c:idx val="1"/>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03-F2E8-4C71-B076-003035BE5FD4}"/>
              </c:ext>
            </c:extLst>
          </c:dPt>
          <c:dPt>
            <c:idx val="2"/>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05-F2E8-4C71-B076-003035BE5FD4}"/>
              </c:ext>
            </c:extLst>
          </c:dPt>
          <c:dPt>
            <c:idx val="5"/>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07-F2E8-4C71-B076-003035BE5FD4}"/>
              </c:ext>
            </c:extLst>
          </c:dPt>
          <c:dPt>
            <c:idx val="8"/>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09-F2E8-4C71-B076-003035BE5FD4}"/>
              </c:ext>
            </c:extLst>
          </c:dPt>
          <c:dPt>
            <c:idx val="11"/>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0B-F2E8-4C71-B076-003035BE5FD4}"/>
              </c:ext>
            </c:extLst>
          </c:dPt>
          <c:dPt>
            <c:idx val="12"/>
            <c:invertIfNegative val="0"/>
            <c:bubble3D val="0"/>
            <c:spPr>
              <a:solidFill>
                <a:srgbClr val="4BACC6">
                  <a:lumMod val="75000"/>
                </a:srgbClr>
              </a:solidFill>
              <a:ln>
                <a:noFill/>
              </a:ln>
              <a:effectLst/>
            </c:spPr>
            <c:extLst>
              <c:ext xmlns:c16="http://schemas.microsoft.com/office/drawing/2014/chart" uri="{C3380CC4-5D6E-409C-BE32-E72D297353CC}">
                <c16:uniqueId val="{0000000D-F2E8-4C71-B076-003035BE5FD4}"/>
              </c:ext>
            </c:extLst>
          </c:dPt>
          <c:dPt>
            <c:idx val="13"/>
            <c:invertIfNegative val="0"/>
            <c:bubble3D val="0"/>
            <c:spPr>
              <a:solidFill>
                <a:srgbClr val="4BACC6"/>
              </a:solidFill>
              <a:ln>
                <a:noFill/>
              </a:ln>
              <a:effectLst/>
            </c:spPr>
            <c:extLst>
              <c:ext xmlns:c16="http://schemas.microsoft.com/office/drawing/2014/chart" uri="{C3380CC4-5D6E-409C-BE32-E72D297353CC}">
                <c16:uniqueId val="{0000000F-F2E8-4C71-B076-003035BE5FD4}"/>
              </c:ext>
            </c:extLst>
          </c:dPt>
          <c:dPt>
            <c:idx val="14"/>
            <c:invertIfNegative val="0"/>
            <c:bubble3D val="0"/>
            <c:spPr>
              <a:solidFill>
                <a:srgbClr val="EEECE1">
                  <a:lumMod val="50000"/>
                </a:srgbClr>
              </a:solidFill>
              <a:ln w="12700">
                <a:solidFill>
                  <a:srgbClr val="C00000"/>
                </a:solidFill>
              </a:ln>
              <a:effectLst/>
            </c:spPr>
            <c:extLst>
              <c:ext xmlns:c16="http://schemas.microsoft.com/office/drawing/2014/chart" uri="{C3380CC4-5D6E-409C-BE32-E72D297353CC}">
                <c16:uniqueId val="{00000011-F2E8-4C71-B076-003035BE5FD4}"/>
              </c:ext>
            </c:extLst>
          </c:dPt>
          <c:dPt>
            <c:idx val="17"/>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13-F2E8-4C71-B076-003035BE5FD4}"/>
              </c:ext>
            </c:extLst>
          </c:dPt>
          <c:dPt>
            <c:idx val="20"/>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15-F2E8-4C71-B076-003035BE5FD4}"/>
              </c:ext>
            </c:extLst>
          </c:dPt>
          <c:dPt>
            <c:idx val="23"/>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17-F2E8-4C71-B076-003035BE5FD4}"/>
              </c:ext>
            </c:extLst>
          </c:dPt>
          <c:dPt>
            <c:idx val="24"/>
            <c:invertIfNegative val="0"/>
            <c:bubble3D val="0"/>
            <c:spPr>
              <a:solidFill>
                <a:srgbClr val="F79646">
                  <a:lumMod val="75000"/>
                </a:srgbClr>
              </a:solidFill>
              <a:ln>
                <a:noFill/>
              </a:ln>
              <a:effectLst/>
            </c:spPr>
            <c:extLst>
              <c:ext xmlns:c16="http://schemas.microsoft.com/office/drawing/2014/chart" uri="{C3380CC4-5D6E-409C-BE32-E72D297353CC}">
                <c16:uniqueId val="{00000019-F2E8-4C71-B076-003035BE5FD4}"/>
              </c:ext>
            </c:extLst>
          </c:dPt>
          <c:dPt>
            <c:idx val="25"/>
            <c:invertIfNegative val="0"/>
            <c:bubble3D val="0"/>
            <c:spPr>
              <a:solidFill>
                <a:srgbClr val="F79646"/>
              </a:solidFill>
              <a:ln>
                <a:noFill/>
              </a:ln>
              <a:effectLst/>
            </c:spPr>
            <c:extLst>
              <c:ext xmlns:c16="http://schemas.microsoft.com/office/drawing/2014/chart" uri="{C3380CC4-5D6E-409C-BE32-E72D297353CC}">
                <c16:uniqueId val="{0000001B-F2E8-4C71-B076-003035BE5FD4}"/>
              </c:ext>
            </c:extLst>
          </c:dPt>
          <c:dPt>
            <c:idx val="26"/>
            <c:invertIfNegative val="0"/>
            <c:bubble3D val="0"/>
            <c:spPr>
              <a:solidFill>
                <a:srgbClr val="EEECE1">
                  <a:lumMod val="50000"/>
                </a:srgbClr>
              </a:solidFill>
              <a:ln w="12700">
                <a:solidFill>
                  <a:srgbClr val="C00000"/>
                </a:solidFill>
              </a:ln>
              <a:effectLst/>
            </c:spPr>
            <c:extLst>
              <c:ext xmlns:c16="http://schemas.microsoft.com/office/drawing/2014/chart" uri="{C3380CC4-5D6E-409C-BE32-E72D297353CC}">
                <c16:uniqueId val="{0000001D-F2E8-4C71-B076-003035BE5FD4}"/>
              </c:ext>
            </c:extLst>
          </c:dPt>
          <c:dPt>
            <c:idx val="29"/>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1F-F2E8-4C71-B076-003035BE5FD4}"/>
              </c:ext>
            </c:extLst>
          </c:dPt>
          <c:dPt>
            <c:idx val="32"/>
            <c:invertIfNegative val="0"/>
            <c:bubble3D val="0"/>
            <c:spPr>
              <a:solidFill>
                <a:srgbClr val="EEECE1">
                  <a:lumMod val="50000"/>
                </a:srgbClr>
              </a:solidFill>
              <a:ln w="12700">
                <a:solidFill>
                  <a:srgbClr val="C00000"/>
                </a:solidFill>
              </a:ln>
              <a:effectLst/>
            </c:spPr>
            <c:extLst>
              <c:ext xmlns:c16="http://schemas.microsoft.com/office/drawing/2014/chart" uri="{C3380CC4-5D6E-409C-BE32-E72D297353CC}">
                <c16:uniqueId val="{00000021-F2E8-4C71-B076-003035BE5FD4}"/>
              </c:ext>
            </c:extLst>
          </c:dPt>
          <c:dPt>
            <c:idx val="35"/>
            <c:invertIfNegative val="0"/>
            <c:bubble3D val="0"/>
            <c:spPr>
              <a:solidFill>
                <a:srgbClr val="EEECE1">
                  <a:lumMod val="75000"/>
                </a:srgbClr>
              </a:solidFill>
              <a:ln w="12700">
                <a:solidFill>
                  <a:srgbClr val="FF0000"/>
                </a:solidFill>
              </a:ln>
              <a:effectLst/>
            </c:spPr>
            <c:extLst>
              <c:ext xmlns:c16="http://schemas.microsoft.com/office/drawing/2014/chart" uri="{C3380CC4-5D6E-409C-BE32-E72D297353CC}">
                <c16:uniqueId val="{00000023-F2E8-4C71-B076-003035BE5FD4}"/>
              </c:ext>
            </c:extLst>
          </c:dPt>
          <c:dLbls>
            <c:dLbl>
              <c:idx val="2"/>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1523086419753088E-2"/>
                      <c:h val="0.13048524904214559"/>
                    </c:manualLayout>
                  </c15:layout>
                </c:ext>
                <c:ext xmlns:c16="http://schemas.microsoft.com/office/drawing/2014/chart" uri="{C3380CC4-5D6E-409C-BE32-E72D297353CC}">
                  <c16:uniqueId val="{00000005-F2E8-4C71-B076-003035BE5FD4}"/>
                </c:ext>
              </c:extLst>
            </c:dLbl>
            <c:dLbl>
              <c:idx val="5"/>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20358024691358E-2"/>
                      <c:h val="0.12326973180076628"/>
                    </c:manualLayout>
                  </c15:layout>
                </c:ext>
                <c:ext xmlns:c16="http://schemas.microsoft.com/office/drawing/2014/chart" uri="{C3380CC4-5D6E-409C-BE32-E72D297353CC}">
                  <c16:uniqueId val="{00000007-F2E8-4C71-B076-003035BE5FD4}"/>
                </c:ext>
              </c:extLst>
            </c:dLbl>
            <c:dLbl>
              <c:idx val="8"/>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8824814814814824E-2"/>
                      <c:h val="0.13782662835249043"/>
                    </c:manualLayout>
                  </c15:layout>
                </c:ext>
                <c:ext xmlns:c16="http://schemas.microsoft.com/office/drawing/2014/chart" uri="{C3380CC4-5D6E-409C-BE32-E72D297353CC}">
                  <c16:uniqueId val="{00000009-F2E8-4C71-B076-003035BE5FD4}"/>
                </c:ext>
              </c:extLst>
            </c:dLbl>
            <c:dLbl>
              <c:idx val="11"/>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0.10166271604938272"/>
                      <c:h val="7.9435823754789275E-2"/>
                    </c:manualLayout>
                  </c15:layout>
                </c:ext>
                <c:ext xmlns:c16="http://schemas.microsoft.com/office/drawing/2014/chart" uri="{C3380CC4-5D6E-409C-BE32-E72D297353CC}">
                  <c16:uniqueId val="{0000000B-F2E8-4C71-B076-003035BE5FD4}"/>
                </c:ext>
              </c:extLst>
            </c:dLbl>
            <c:dLbl>
              <c:idx val="12"/>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008876543209877"/>
                      <c:h val="0.13940804597701151"/>
                    </c:manualLayout>
                  </c15:layout>
                </c:ext>
                <c:ext xmlns:c16="http://schemas.microsoft.com/office/drawing/2014/chart" uri="{C3380CC4-5D6E-409C-BE32-E72D297353CC}">
                  <c16:uniqueId val="{0000000D-F2E8-4C71-B076-003035BE5FD4}"/>
                </c:ext>
              </c:extLst>
            </c:dLbl>
            <c:dLbl>
              <c:idx val="13"/>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349716049382715"/>
                      <c:h val="0.11507854406130268"/>
                    </c:manualLayout>
                  </c15:layout>
                </c:ext>
                <c:ext xmlns:c16="http://schemas.microsoft.com/office/drawing/2014/chart" uri="{C3380CC4-5D6E-409C-BE32-E72D297353CC}">
                  <c16:uniqueId val="{0000000F-F2E8-4C71-B076-003035BE5FD4}"/>
                </c:ext>
              </c:extLst>
            </c:dLbl>
            <c:dLbl>
              <c:idx val="14"/>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9067777777777782E-2"/>
                      <c:h val="0.15157279693486589"/>
                    </c:manualLayout>
                  </c15:layout>
                </c:ext>
                <c:ext xmlns:c16="http://schemas.microsoft.com/office/drawing/2014/chart" uri="{C3380CC4-5D6E-409C-BE32-E72D297353CC}">
                  <c16:uniqueId val="{00000011-F2E8-4C71-B076-003035BE5FD4}"/>
                </c:ext>
              </c:extLst>
            </c:dLbl>
            <c:dLbl>
              <c:idx val="17"/>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311938271604937"/>
                      <c:h val="9.1600574712643684E-2"/>
                    </c:manualLayout>
                  </c15:layout>
                </c:ext>
                <c:ext xmlns:c16="http://schemas.microsoft.com/office/drawing/2014/chart" uri="{C3380CC4-5D6E-409C-BE32-E72D297353CC}">
                  <c16:uniqueId val="{00000013-F2E8-4C71-B076-003035BE5FD4}"/>
                </c:ext>
              </c:extLst>
            </c:dLbl>
            <c:dLbl>
              <c:idx val="2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extLst>
                <c:ext xmlns:c15="http://schemas.microsoft.com/office/drawing/2012/chart" uri="{CE6537A1-D6FC-4f65-9D91-7224C49458BB}">
                  <c15:layout>
                    <c:manualLayout>
                      <c:w val="0.11819617283950619"/>
                      <c:h val="0.13454214559386971"/>
                    </c:manualLayout>
                  </c15:layout>
                </c:ext>
                <c:ext xmlns:c16="http://schemas.microsoft.com/office/drawing/2014/chart" uri="{C3380CC4-5D6E-409C-BE32-E72D297353CC}">
                  <c16:uniqueId val="{00000015-F2E8-4C71-B076-003035BE5FD4}"/>
                </c:ext>
              </c:extLst>
            </c:dLbl>
            <c:dLbl>
              <c:idx val="23"/>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9.2012222222222217E-2"/>
                      <c:h val="0.13454214559386971"/>
                    </c:manualLayout>
                  </c15:layout>
                </c:ext>
                <c:ext xmlns:c16="http://schemas.microsoft.com/office/drawing/2014/chart" uri="{C3380CC4-5D6E-409C-BE32-E72D297353CC}">
                  <c16:uniqueId val="{00000017-F2E8-4C71-B076-003035BE5FD4}"/>
                </c:ext>
              </c:extLst>
            </c:dLbl>
            <c:dLbl>
              <c:idx val="24"/>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4743765432098765"/>
                      <c:h val="0.13697509578544062"/>
                    </c:manualLayout>
                  </c15:layout>
                </c:ext>
                <c:ext xmlns:c16="http://schemas.microsoft.com/office/drawing/2014/chart" uri="{C3380CC4-5D6E-409C-BE32-E72D297353CC}">
                  <c16:uniqueId val="{00000019-F2E8-4C71-B076-003035BE5FD4}"/>
                </c:ext>
              </c:extLst>
            </c:dLbl>
            <c:dLbl>
              <c:idx val="25"/>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2623962962962962"/>
                      <c:h val="0.12237739463601532"/>
                    </c:manualLayout>
                  </c15:layout>
                </c:ext>
                <c:ext xmlns:c16="http://schemas.microsoft.com/office/drawing/2014/chart" uri="{C3380CC4-5D6E-409C-BE32-E72D297353CC}">
                  <c16:uniqueId val="{0000001B-F2E8-4C71-B076-003035BE5FD4}"/>
                </c:ext>
              </c:extLst>
            </c:dLbl>
            <c:dLbl>
              <c:idx val="26"/>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1263024691358023"/>
                      <c:h val="0.13940804597701151"/>
                    </c:manualLayout>
                  </c15:layout>
                </c:ext>
                <c:ext xmlns:c16="http://schemas.microsoft.com/office/drawing/2014/chart" uri="{C3380CC4-5D6E-409C-BE32-E72D297353CC}">
                  <c16:uniqueId val="{0000001D-F2E8-4C71-B076-003035BE5FD4}"/>
                </c:ext>
              </c:extLst>
            </c:dLbl>
            <c:dLbl>
              <c:idx val="29"/>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3944135802469135"/>
                      <c:h val="0.14184099616858237"/>
                    </c:manualLayout>
                  </c15:layout>
                </c:ext>
                <c:ext xmlns:c16="http://schemas.microsoft.com/office/drawing/2014/chart" uri="{C3380CC4-5D6E-409C-BE32-E72D297353CC}">
                  <c16:uniqueId val="{0000001F-F2E8-4C71-B076-003035BE5FD4}"/>
                </c:ext>
              </c:extLst>
            </c:dLbl>
            <c:dLbl>
              <c:idx val="32"/>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8.9041111111111113E-2"/>
                      <c:h val="0.16458908045977008"/>
                    </c:manualLayout>
                  </c15:layout>
                </c:ext>
                <c:ext xmlns:c16="http://schemas.microsoft.com/office/drawing/2014/chart" uri="{C3380CC4-5D6E-409C-BE32-E72D297353CC}">
                  <c16:uniqueId val="{00000021-F2E8-4C71-B076-003035BE5FD4}"/>
                </c:ext>
              </c:extLst>
            </c:dLbl>
            <c:dLbl>
              <c:idx val="35"/>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1012864197530864"/>
                      <c:h val="0.12079597701149425"/>
                    </c:manualLayout>
                  </c15:layout>
                </c:ext>
                <c:ext xmlns:c16="http://schemas.microsoft.com/office/drawing/2014/chart" uri="{C3380CC4-5D6E-409C-BE32-E72D297353CC}">
                  <c16:uniqueId val="{00000023-F2E8-4C71-B076-003035BE5F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TD!$B$86:$B$133</c:f>
              <c:multiLvlStrCache>
                <c:ptCount val="36"/>
                <c:lvl>
                  <c:pt idx="0">
                    <c:v> PRODUCCIÓN</c:v>
                  </c:pt>
                  <c:pt idx="1">
                    <c:v> SALIDA</c:v>
                  </c:pt>
                  <c:pt idx="2">
                    <c:v> Stock</c:v>
                  </c:pt>
                  <c:pt idx="3">
                    <c:v> PRODUCCIÓN</c:v>
                  </c:pt>
                  <c:pt idx="4">
                    <c:v> SALIDA</c:v>
                  </c:pt>
                  <c:pt idx="5">
                    <c:v> Stock</c:v>
                  </c:pt>
                  <c:pt idx="6">
                    <c:v> PRODUCCIÓN</c:v>
                  </c:pt>
                  <c:pt idx="7">
                    <c:v> SALIDA</c:v>
                  </c:pt>
                  <c:pt idx="8">
                    <c:v> Stock</c:v>
                  </c:pt>
                  <c:pt idx="9">
                    <c:v> PRODUCCIÓN</c:v>
                  </c:pt>
                  <c:pt idx="10">
                    <c:v> SALIDA</c:v>
                  </c:pt>
                  <c:pt idx="11">
                    <c:v> Stock</c:v>
                  </c:pt>
                  <c:pt idx="12">
                    <c:v> PRODUCCIÓN</c:v>
                  </c:pt>
                  <c:pt idx="13">
                    <c:v> SALIDA</c:v>
                  </c:pt>
                  <c:pt idx="14">
                    <c:v> Stock</c:v>
                  </c:pt>
                  <c:pt idx="15">
                    <c:v> PRODUCCIÓN</c:v>
                  </c:pt>
                  <c:pt idx="16">
                    <c:v> SALIDA</c:v>
                  </c:pt>
                  <c:pt idx="17">
                    <c:v> Stock</c:v>
                  </c:pt>
                  <c:pt idx="18">
                    <c:v> PRODUCCIÓN</c:v>
                  </c:pt>
                  <c:pt idx="19">
                    <c:v> SALIDA</c:v>
                  </c:pt>
                  <c:pt idx="20">
                    <c:v> Stock</c:v>
                  </c:pt>
                  <c:pt idx="21">
                    <c:v> PRODUCCIÓN</c:v>
                  </c:pt>
                  <c:pt idx="22">
                    <c:v> SALIDA</c:v>
                  </c:pt>
                  <c:pt idx="23">
                    <c:v> Stock</c:v>
                  </c:pt>
                  <c:pt idx="24">
                    <c:v> PRODUCCIÓN</c:v>
                  </c:pt>
                  <c:pt idx="25">
                    <c:v> SALIDA</c:v>
                  </c:pt>
                  <c:pt idx="26">
                    <c:v> Stock</c:v>
                  </c:pt>
                  <c:pt idx="27">
                    <c:v> PRODUCCIÓN</c:v>
                  </c:pt>
                  <c:pt idx="28">
                    <c:v> SALIDA</c:v>
                  </c:pt>
                  <c:pt idx="29">
                    <c:v> Stock</c:v>
                  </c:pt>
                  <c:pt idx="30">
                    <c:v> PRODUCCIÓN</c:v>
                  </c:pt>
                  <c:pt idx="31">
                    <c:v> SALIDA</c:v>
                  </c:pt>
                  <c:pt idx="32">
                    <c:v> Stock</c:v>
                  </c:pt>
                  <c:pt idx="33">
                    <c:v> PRODUCCIÓN</c:v>
                  </c:pt>
                  <c:pt idx="34">
                    <c:v> SALIDA</c:v>
                  </c:pt>
                  <c:pt idx="35">
                    <c:v> Stock</c:v>
                  </c:pt>
                </c:lvl>
                <c:lvl>
                  <c:pt idx="0">
                    <c:v>CT_Citri</c:v>
                  </c:pt>
                  <c:pt idx="3">
                    <c:v>MD_Citri</c:v>
                  </c:pt>
                  <c:pt idx="6">
                    <c:v>Jadam</c:v>
                  </c:pt>
                  <c:pt idx="9">
                    <c:v>Ter_Can</c:v>
                  </c:pt>
                  <c:pt idx="12">
                    <c:v>CitroFol_D</c:v>
                  </c:pt>
                  <c:pt idx="15">
                    <c:v>MultiRoot</c:v>
                  </c:pt>
                  <c:pt idx="18">
                    <c:v>Nitrabor_Liq</c:v>
                  </c:pt>
                  <c:pt idx="21">
                    <c:v>Lixiviado</c:v>
                  </c:pt>
                  <c:pt idx="24">
                    <c:v>Composta</c:v>
                  </c:pt>
                  <c:pt idx="27">
                    <c:v>Vermicomposta</c:v>
                  </c:pt>
                  <c:pt idx="30">
                    <c:v>Crisopas</c:v>
                  </c:pt>
                  <c:pt idx="33">
                    <c:v>Miel</c:v>
                  </c:pt>
                </c:lvl>
              </c:multiLvlStrCache>
            </c:multiLvlStrRef>
          </c:cat>
          <c:val>
            <c:numRef>
              <c:f>TD!$C$86:$C$133</c:f>
              <c:numCache>
                <c:formatCode>#,##0.0</c:formatCode>
                <c:ptCount val="36"/>
                <c:pt idx="0">
                  <c:v>14200</c:v>
                </c:pt>
                <c:pt idx="1">
                  <c:v>14200</c:v>
                </c:pt>
                <c:pt idx="2">
                  <c:v>0</c:v>
                </c:pt>
                <c:pt idx="3">
                  <c:v>6000</c:v>
                </c:pt>
                <c:pt idx="4">
                  <c:v>6000</c:v>
                </c:pt>
                <c:pt idx="5">
                  <c:v>0</c:v>
                </c:pt>
                <c:pt idx="6">
                  <c:v>2000</c:v>
                </c:pt>
                <c:pt idx="7">
                  <c:v>1520</c:v>
                </c:pt>
                <c:pt idx="8">
                  <c:v>480</c:v>
                </c:pt>
                <c:pt idx="9">
                  <c:v>20</c:v>
                </c:pt>
                <c:pt idx="10">
                  <c:v>20</c:v>
                </c:pt>
                <c:pt idx="11">
                  <c:v>0</c:v>
                </c:pt>
                <c:pt idx="12">
                  <c:v>2000</c:v>
                </c:pt>
                <c:pt idx="13">
                  <c:v>1420</c:v>
                </c:pt>
                <c:pt idx="14">
                  <c:v>580</c:v>
                </c:pt>
                <c:pt idx="15">
                  <c:v>37500</c:v>
                </c:pt>
                <c:pt idx="16">
                  <c:v>36560</c:v>
                </c:pt>
                <c:pt idx="17">
                  <c:v>940</c:v>
                </c:pt>
                <c:pt idx="18">
                  <c:v>157000</c:v>
                </c:pt>
                <c:pt idx="19">
                  <c:v>157000</c:v>
                </c:pt>
                <c:pt idx="20">
                  <c:v>0</c:v>
                </c:pt>
                <c:pt idx="21">
                  <c:v>282000</c:v>
                </c:pt>
                <c:pt idx="22">
                  <c:v>248582.5</c:v>
                </c:pt>
                <c:pt idx="23">
                  <c:v>33417.5</c:v>
                </c:pt>
                <c:pt idx="24">
                  <c:v>758200</c:v>
                </c:pt>
                <c:pt idx="25">
                  <c:v>708140</c:v>
                </c:pt>
                <c:pt idx="26">
                  <c:v>50060</c:v>
                </c:pt>
                <c:pt idx="27">
                  <c:v>143000</c:v>
                </c:pt>
                <c:pt idx="28">
                  <c:v>94300</c:v>
                </c:pt>
                <c:pt idx="29">
                  <c:v>48700</c:v>
                </c:pt>
                <c:pt idx="30">
                  <c:v>64.619</c:v>
                </c:pt>
                <c:pt idx="31">
                  <c:v>61.900999999999996</c:v>
                </c:pt>
                <c:pt idx="32">
                  <c:v>2.7180000000000035</c:v>
                </c:pt>
                <c:pt idx="33">
                  <c:v>10816.569000000001</c:v>
                </c:pt>
                <c:pt idx="34">
                  <c:v>3166.5</c:v>
                </c:pt>
                <c:pt idx="35">
                  <c:v>7650.0690000000013</c:v>
                </c:pt>
              </c:numCache>
            </c:numRef>
          </c:val>
          <c:extLst>
            <c:ext xmlns:c16="http://schemas.microsoft.com/office/drawing/2014/chart" uri="{C3380CC4-5D6E-409C-BE32-E72D297353CC}">
              <c16:uniqueId val="{00000002-7B2A-49DF-B2B4-C0645341A40D}"/>
            </c:ext>
          </c:extLst>
        </c:ser>
        <c:dLbls>
          <c:dLblPos val="outEnd"/>
          <c:showLegendKey val="0"/>
          <c:showVal val="1"/>
          <c:showCatName val="0"/>
          <c:showSerName val="0"/>
          <c:showPercent val="0"/>
          <c:showBubbleSize val="0"/>
        </c:dLbls>
        <c:gapWidth val="100"/>
        <c:overlap val="-20"/>
        <c:axId val="1069662432"/>
        <c:axId val="1027731776"/>
      </c:barChart>
      <c:catAx>
        <c:axId val="10696624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MX"/>
          </a:p>
        </c:txPr>
        <c:crossAx val="1027731776"/>
        <c:crosses val="autoZero"/>
        <c:auto val="1"/>
        <c:lblAlgn val="ctr"/>
        <c:lblOffset val="100"/>
        <c:noMultiLvlLbl val="0"/>
      </c:catAx>
      <c:valAx>
        <c:axId val="10277317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MX"/>
          </a:p>
        </c:txPr>
        <c:crossAx val="1069662432"/>
        <c:crosses val="autoZero"/>
        <c:crossBetween val="between"/>
      </c:valAx>
      <c:spPr>
        <a:noFill/>
        <a:ln>
          <a:noFill/>
        </a:ln>
        <a:effectLst/>
      </c:spPr>
    </c:plotArea>
    <c:plotVisOnly val="1"/>
    <c:dispBlanksAs val="span"/>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166687</xdr:colOff>
      <xdr:row>1</xdr:row>
      <xdr:rowOff>78580</xdr:rowOff>
    </xdr:from>
    <xdr:to>
      <xdr:col>11</xdr:col>
      <xdr:colOff>592687</xdr:colOff>
      <xdr:row>20</xdr:row>
      <xdr:rowOff>95080</xdr:rowOff>
    </xdr:to>
    <xdr:graphicFrame macro="">
      <xdr:nvGraphicFramePr>
        <xdr:cNvPr id="2" name="Gráfico 1">
          <a:extLst>
            <a:ext uri="{FF2B5EF4-FFF2-40B4-BE49-F238E27FC236}">
              <a16:creationId xmlns:a16="http://schemas.microsoft.com/office/drawing/2014/main" id="{543AE142-FFA1-4860-8DCF-0886958CF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184546</xdr:colOff>
      <xdr:row>21</xdr:row>
      <xdr:rowOff>122634</xdr:rowOff>
    </xdr:from>
    <xdr:to>
      <xdr:col>5</xdr:col>
      <xdr:colOff>146858</xdr:colOff>
      <xdr:row>32</xdr:row>
      <xdr:rowOff>187134</xdr:rowOff>
    </xdr:to>
    <xdr:graphicFrame macro="">
      <xdr:nvGraphicFramePr>
        <xdr:cNvPr id="3" name="Gráfico 2">
          <a:extLst>
            <a:ext uri="{FF2B5EF4-FFF2-40B4-BE49-F238E27FC236}">
              <a16:creationId xmlns:a16="http://schemas.microsoft.com/office/drawing/2014/main" id="{59D33279-4250-4438-ABA8-93D99B12A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654844</xdr:colOff>
      <xdr:row>1</xdr:row>
      <xdr:rowOff>95250</xdr:rowOff>
    </xdr:from>
    <xdr:to>
      <xdr:col>19</xdr:col>
      <xdr:colOff>318844</xdr:colOff>
      <xdr:row>20</xdr:row>
      <xdr:rowOff>111750</xdr:rowOff>
    </xdr:to>
    <xdr:graphicFrame macro="">
      <xdr:nvGraphicFramePr>
        <xdr:cNvPr id="7" name="Gráfico 6">
          <a:extLst>
            <a:ext uri="{FF2B5EF4-FFF2-40B4-BE49-F238E27FC236}">
              <a16:creationId xmlns:a16="http://schemas.microsoft.com/office/drawing/2014/main" id="{746E0C05-0100-4E58-9666-37C610B4A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202407</xdr:colOff>
      <xdr:row>21</xdr:row>
      <xdr:rowOff>107157</xdr:rowOff>
    </xdr:from>
    <xdr:to>
      <xdr:col>10</xdr:col>
      <xdr:colOff>712407</xdr:colOff>
      <xdr:row>32</xdr:row>
      <xdr:rowOff>171657</xdr:rowOff>
    </xdr:to>
    <xdr:graphicFrame macro="">
      <xdr:nvGraphicFramePr>
        <xdr:cNvPr id="8" name="Gráfico 7">
          <a:extLst>
            <a:ext uri="{FF2B5EF4-FFF2-40B4-BE49-F238E27FC236}">
              <a16:creationId xmlns:a16="http://schemas.microsoft.com/office/drawing/2014/main" id="{D1402EB7-5EB2-4CBA-AB85-9A7BD77BE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214313</xdr:colOff>
      <xdr:row>33</xdr:row>
      <xdr:rowOff>47625</xdr:rowOff>
    </xdr:from>
    <xdr:to>
      <xdr:col>5</xdr:col>
      <xdr:colOff>176625</xdr:colOff>
      <xdr:row>44</xdr:row>
      <xdr:rowOff>112125</xdr:rowOff>
    </xdr:to>
    <xdr:graphicFrame macro="">
      <xdr:nvGraphicFramePr>
        <xdr:cNvPr id="9" name="Gráfico 8">
          <a:extLst>
            <a:ext uri="{FF2B5EF4-FFF2-40B4-BE49-F238E27FC236}">
              <a16:creationId xmlns:a16="http://schemas.microsoft.com/office/drawing/2014/main" id="{D2E5A5E0-0DAC-4809-BCFF-19E5D31C0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243416</xdr:colOff>
      <xdr:row>33</xdr:row>
      <xdr:rowOff>52917</xdr:rowOff>
    </xdr:from>
    <xdr:to>
      <xdr:col>10</xdr:col>
      <xdr:colOff>745478</xdr:colOff>
      <xdr:row>44</xdr:row>
      <xdr:rowOff>117417</xdr:rowOff>
    </xdr:to>
    <xdr:graphicFrame macro="">
      <xdr:nvGraphicFramePr>
        <xdr:cNvPr id="12" name="Gráfico 11">
          <a:extLst>
            <a:ext uri="{FF2B5EF4-FFF2-40B4-BE49-F238E27FC236}">
              <a16:creationId xmlns:a16="http://schemas.microsoft.com/office/drawing/2014/main" id="{2974188D-4108-49CC-BFD3-435E18779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2</xdr:row>
      <xdr:rowOff>46831</xdr:rowOff>
    </xdr:from>
    <xdr:to>
      <xdr:col>12</xdr:col>
      <xdr:colOff>543500</xdr:colOff>
      <xdr:row>29</xdr:row>
      <xdr:rowOff>123331</xdr:rowOff>
    </xdr:to>
    <xdr:graphicFrame macro="">
      <xdr:nvGraphicFramePr>
        <xdr:cNvPr id="15" name="Gráfico 14">
          <a:extLst>
            <a:ext uri="{FF2B5EF4-FFF2-40B4-BE49-F238E27FC236}">
              <a16:creationId xmlns:a16="http://schemas.microsoft.com/office/drawing/2014/main" id="{8E530F05-E69A-4544-B5D7-9745D39FC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23813</xdr:colOff>
      <xdr:row>18</xdr:row>
      <xdr:rowOff>83344</xdr:rowOff>
    </xdr:from>
    <xdr:to>
      <xdr:col>0</xdr:col>
      <xdr:colOff>1471751</xdr:colOff>
      <xdr:row>22</xdr:row>
      <xdr:rowOff>149344</xdr:rowOff>
    </xdr:to>
    <mc:AlternateContent xmlns:mc="http://schemas.openxmlformats.org/markup-compatibility/2006" xmlns:a14="http://schemas.microsoft.com/office/drawing/2010/main">
      <mc:Choice Requires="a14">
        <xdr:graphicFrame macro="">
          <xdr:nvGraphicFramePr>
            <xdr:cNvPr id="16" name="OPERACIÓN 1">
              <a:extLst>
                <a:ext uri="{FF2B5EF4-FFF2-40B4-BE49-F238E27FC236}">
                  <a16:creationId xmlns:a16="http://schemas.microsoft.com/office/drawing/2014/main" id="{28C6DE9D-4E5C-4608-98BE-5F084EF8FD1E}"/>
                </a:ext>
              </a:extLst>
            </xdr:cNvPr>
            <xdr:cNvGraphicFramePr/>
          </xdr:nvGraphicFramePr>
          <xdr:xfrm>
            <a:off x="0" y="0"/>
            <a:ext cx="0" cy="0"/>
          </xdr:xfrm>
          <a:graphic>
            <a:graphicData uri="http://schemas.microsoft.com/office/drawing/2010/slicer">
              <sle:slicer xmlns:sle="http://schemas.microsoft.com/office/drawing/2010/slicer" name="OPERACIÓN 1"/>
            </a:graphicData>
          </a:graphic>
        </xdr:graphicFrame>
      </mc:Choice>
      <mc:Fallback xmlns="">
        <xdr:sp macro="" textlink="">
          <xdr:nvSpPr>
            <xdr:cNvPr id="0" name=""/>
            <xdr:cNvSpPr>
              <a:spLocks noTextEdit="1"/>
            </xdr:cNvSpPr>
          </xdr:nvSpPr>
          <xdr:spPr>
            <a:xfrm>
              <a:off x="23813" y="3686969"/>
              <a:ext cx="1447938" cy="8280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30163</xdr:colOff>
      <xdr:row>6</xdr:row>
      <xdr:rowOff>71437</xdr:rowOff>
    </xdr:from>
    <xdr:to>
      <xdr:col>0</xdr:col>
      <xdr:colOff>1470163</xdr:colOff>
      <xdr:row>18</xdr:row>
      <xdr:rowOff>53437</xdr:rowOff>
    </xdr:to>
    <mc:AlternateContent xmlns:mc="http://schemas.openxmlformats.org/markup-compatibility/2006" xmlns:a14="http://schemas.microsoft.com/office/drawing/2010/main">
      <mc:Choice Requires="a14">
        <xdr:graphicFrame macro="">
          <xdr:nvGraphicFramePr>
            <xdr:cNvPr id="17" name="CONCEPTO 1">
              <a:extLst>
                <a:ext uri="{FF2B5EF4-FFF2-40B4-BE49-F238E27FC236}">
                  <a16:creationId xmlns:a16="http://schemas.microsoft.com/office/drawing/2014/main" id="{9EE65EAD-F7E4-4FA8-A097-B74DD37F83BF}"/>
                </a:ext>
              </a:extLst>
            </xdr:cNvPr>
            <xdr:cNvGraphicFramePr/>
          </xdr:nvGraphicFramePr>
          <xdr:xfrm>
            <a:off x="0" y="0"/>
            <a:ext cx="0" cy="0"/>
          </xdr:xfrm>
          <a:graphic>
            <a:graphicData uri="http://schemas.microsoft.com/office/drawing/2010/slicer">
              <sle:slicer xmlns:sle="http://schemas.microsoft.com/office/drawing/2010/slicer" name="CONCEPTO 1"/>
            </a:graphicData>
          </a:graphic>
        </xdr:graphicFrame>
      </mc:Choice>
      <mc:Fallback xmlns="">
        <xdr:sp macro="" textlink="">
          <xdr:nvSpPr>
            <xdr:cNvPr id="0" name=""/>
            <xdr:cNvSpPr>
              <a:spLocks noTextEdit="1"/>
            </xdr:cNvSpPr>
          </xdr:nvSpPr>
          <xdr:spPr>
            <a:xfrm>
              <a:off x="30163" y="1389062"/>
              <a:ext cx="1440000" cy="22680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30162</xdr:colOff>
      <xdr:row>22</xdr:row>
      <xdr:rowOff>178594</xdr:rowOff>
    </xdr:from>
    <xdr:to>
      <xdr:col>0</xdr:col>
      <xdr:colOff>1474131</xdr:colOff>
      <xdr:row>28</xdr:row>
      <xdr:rowOff>151594</xdr:rowOff>
    </xdr:to>
    <mc:AlternateContent xmlns:mc="http://schemas.openxmlformats.org/markup-compatibility/2006" xmlns:a14="http://schemas.microsoft.com/office/drawing/2010/main">
      <mc:Choice Requires="a14">
        <xdr:graphicFrame macro="">
          <xdr:nvGraphicFramePr>
            <xdr:cNvPr id="18" name="Meses 1">
              <a:extLst>
                <a:ext uri="{FF2B5EF4-FFF2-40B4-BE49-F238E27FC236}">
                  <a16:creationId xmlns:a16="http://schemas.microsoft.com/office/drawing/2014/main" id="{5E049EAC-255A-448F-8801-4E6459A925D8}"/>
                </a:ext>
              </a:extLst>
            </xdr:cNvPr>
            <xdr:cNvGraphicFramePr/>
          </xdr:nvGraphicFramePr>
          <xdr:xfrm>
            <a:off x="0" y="0"/>
            <a:ext cx="0" cy="0"/>
          </xdr:xfrm>
          <a:graphic>
            <a:graphicData uri="http://schemas.microsoft.com/office/drawing/2010/slicer">
              <sle:slicer xmlns:sle="http://schemas.microsoft.com/office/drawing/2010/slicer" name="Meses 1"/>
            </a:graphicData>
          </a:graphic>
        </xdr:graphicFrame>
      </mc:Choice>
      <mc:Fallback xmlns="">
        <xdr:sp macro="" textlink="">
          <xdr:nvSpPr>
            <xdr:cNvPr id="0" name=""/>
            <xdr:cNvSpPr>
              <a:spLocks noTextEdit="1"/>
            </xdr:cNvSpPr>
          </xdr:nvSpPr>
          <xdr:spPr>
            <a:xfrm>
              <a:off x="30162" y="4544219"/>
              <a:ext cx="1443969" cy="11160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26194</xdr:colOff>
      <xdr:row>1</xdr:row>
      <xdr:rowOff>119063</xdr:rowOff>
    </xdr:from>
    <xdr:to>
      <xdr:col>0</xdr:col>
      <xdr:colOff>1462225</xdr:colOff>
      <xdr:row>5</xdr:row>
      <xdr:rowOff>46438</xdr:rowOff>
    </xdr:to>
    <mc:AlternateContent xmlns:mc="http://schemas.openxmlformats.org/markup-compatibility/2006" xmlns:a14="http://schemas.microsoft.com/office/drawing/2010/main">
      <mc:Choice Requires="a14">
        <xdr:graphicFrame macro="">
          <xdr:nvGraphicFramePr>
            <xdr:cNvPr id="19" name="Años 1">
              <a:extLst>
                <a:ext uri="{FF2B5EF4-FFF2-40B4-BE49-F238E27FC236}">
                  <a16:creationId xmlns:a16="http://schemas.microsoft.com/office/drawing/2014/main" id="{B3B2A492-1AF8-42AC-BF52-B39FF8AA1707}"/>
                </a:ext>
              </a:extLst>
            </xdr:cNvPr>
            <xdr:cNvGraphicFramePr/>
          </xdr:nvGraphicFramePr>
          <xdr:xfrm>
            <a:off x="0" y="0"/>
            <a:ext cx="0" cy="0"/>
          </xdr:xfrm>
          <a:graphic>
            <a:graphicData uri="http://schemas.microsoft.com/office/drawing/2010/slicer">
              <sle:slicer xmlns:sle="http://schemas.microsoft.com/office/drawing/2010/slicer" name="Años 1"/>
            </a:graphicData>
          </a:graphic>
        </xdr:graphicFrame>
      </mc:Choice>
      <mc:Fallback xmlns="">
        <xdr:sp macro="" textlink="">
          <xdr:nvSpPr>
            <xdr:cNvPr id="0" name=""/>
            <xdr:cNvSpPr>
              <a:spLocks noTextEdit="1"/>
            </xdr:cNvSpPr>
          </xdr:nvSpPr>
          <xdr:spPr>
            <a:xfrm>
              <a:off x="26194" y="309563"/>
              <a:ext cx="1436031" cy="86400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PO%20COLIMAN%202012/GRAFICAS%202012/GRAFICAS%202011/HOJA%20PROCESO%20-ASI-%20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marae/Configuraci&#243;n%20local/Archivos%20temporales%20de%20Internet/Content.IE5/3021MZ1R/GPO%20COLIMAN%202012/FERTIRRIGACION_2012/FERTICOLIMAN_2012/PRODUCCION_2012/Calculos_Produccion_JUL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GPO%20COLIMAN%202014\GRAPHICS%202014\Graph%20y%20Varios%20mios_Produccion_20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81F18EA\GRAFIAS%20DE%20RESULTADOS%20DE%20CLO%2020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ICAR/Agroecologia%202024/Apicultura%202024/Apicultura%202024_sem19_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AS"/>
      <sheetName val="INDICE"/>
      <sheetName val="CAPT_EMBOLSE 2011"/>
      <sheetName val="CAPT_COSECHA 2011"/>
      <sheetName val="GRAF EMBOLSE SEM."/>
      <sheetName val="GRAF EMBOLSE ANUAL"/>
      <sheetName val="GRAF COSECHA ANUAL"/>
      <sheetName val="GRAF CJAS EMP ANUAL"/>
      <sheetName val="GRAF CONVER ANUAL"/>
      <sheetName val="Hoja5"/>
      <sheetName val="semanas"/>
      <sheetName val="GRAF COSECHA SEM."/>
      <sheetName val="EMB &amp; COS 2010"/>
    </sheetNames>
    <sheetDataSet>
      <sheetData sheetId="0"/>
      <sheetData sheetId="1"/>
      <sheetData sheetId="2"/>
      <sheetData sheetId="3"/>
      <sheetData sheetId="4">
        <row r="3">
          <cell r="B3">
            <v>65</v>
          </cell>
          <cell r="K3">
            <v>0</v>
          </cell>
        </row>
        <row r="39">
          <cell r="L39">
            <v>0</v>
          </cell>
        </row>
      </sheetData>
      <sheetData sheetId="5"/>
      <sheetData sheetId="6"/>
      <sheetData sheetId="7"/>
      <sheetData sheetId="8"/>
      <sheetData sheetId="9"/>
      <sheetData sheetId="10"/>
      <sheetData sheetId="11">
        <row r="3">
          <cell r="B3">
            <v>30</v>
          </cell>
          <cell r="U3" t="str">
            <v>NEGRA</v>
          </cell>
        </row>
        <row r="39">
          <cell r="A39">
            <v>1</v>
          </cell>
        </row>
      </sheetData>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DIDO"/>
      <sheetName val="CRONO ENTREGA"/>
      <sheetName val="CONCENTRADO"/>
      <sheetName val="INVENTARIO "/>
      <sheetName val="F. TEPEYAC"/>
      <sheetName val="COMPRAS 2012"/>
      <sheetName val="Fert Conc"/>
      <sheetName val="PROD. MA"/>
      <sheetName val="FOR. PROD. MI."/>
      <sheetName val="AC HUMI"/>
      <sheetName val="Rep Cobro"/>
      <sheetName val="GRAFICAS ANUAL"/>
      <sheetName val="GRAPH COSTO MP"/>
      <sheetName val="semanas (3)"/>
      <sheetName val="REC Banano CIHUA"/>
      <sheetName val="Refuerzo Solido "/>
      <sheetName val="SOL APLI ASI-ATE"/>
      <sheetName val="Hoja2"/>
      <sheetName val="FOR. MA."/>
      <sheetName val="Rep Formulacion"/>
      <sheetName val="FOR. PROD. CA"/>
      <sheetName val="C. AZUFRADO"/>
      <sheetName val="ASPIRINA"/>
      <sheetName val="AFORADO"/>
      <sheetName val="Dosis ATE "/>
      <sheetName val="Dosis ATE  (2)"/>
      <sheetName val="Dosis ASI"/>
      <sheetName val="Dosis ASI (2)"/>
      <sheetName val="Dosis ESM"/>
      <sheetName val="NOTAS"/>
      <sheetName val="Hoja1"/>
      <sheetName val="JUNIO (2)"/>
      <sheetName val="Ago 19"/>
      <sheetName val="Jul 19 "/>
      <sheetName val="Jun 19"/>
      <sheetName val="May 19"/>
      <sheetName val="Abr 19   "/>
      <sheetName val="Mar 19  "/>
      <sheetName val="Feb 19 "/>
      <sheetName val="Ene 19"/>
      <sheetName val="Diciembre"/>
      <sheetName val="Noviembre"/>
      <sheetName val="Octubre"/>
      <sheetName val="Agosto"/>
      <sheetName val="JULIO"/>
      <sheetName val="JUNIO"/>
      <sheetName val="ENERO"/>
      <sheetName val="FEBRERO"/>
      <sheetName val="Septiembre"/>
      <sheetName val="MARZO"/>
      <sheetName val="ABRIL"/>
      <sheetName val="MAYO"/>
      <sheetName val="% DE Avance"/>
      <sheetName val="Pedido Ene 18"/>
      <sheetName val="Pedido P6 20feb18"/>
      <sheetName val="GRA ATE"/>
      <sheetName val="GRAPH ASI"/>
      <sheetName val="GRPH PAL"/>
      <sheetName val="GRPH COLOMO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v>65</v>
          </cell>
          <cell r="V3">
            <v>7</v>
          </cell>
        </row>
        <row r="34">
          <cell r="C34">
            <v>46</v>
          </cell>
          <cell r="W34">
            <v>46</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3">
          <cell r="V3">
            <v>0</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 ENTREGA"/>
      <sheetName val="PROD. MA"/>
      <sheetName val="ATE "/>
      <sheetName val="Hoja5"/>
      <sheetName val="ASI"/>
      <sheetName val="ASI (2)"/>
      <sheetName val="CONC 2011"/>
      <sheetName val="CONC 2012"/>
      <sheetName val="Fert Conc"/>
      <sheetName val="FOR. PROD. MI."/>
      <sheetName val="AC HUMI"/>
      <sheetName val="GRAPH COSTO MP"/>
      <sheetName val="semanas (4)"/>
      <sheetName val="REC Banano CIHUA"/>
      <sheetName val="Refuerzo Solido "/>
      <sheetName val="SOL APLI ASI-ATE"/>
      <sheetName val="Hoja2"/>
      <sheetName val="FOR. MA. bichos 13"/>
      <sheetName val="FOR. MA. MAR 13"/>
      <sheetName val="FOR. MA. SEP12"/>
      <sheetName val="ANALIS CONC"/>
      <sheetName val="FOR. MA."/>
      <sheetName val="Rep Formulacion"/>
      <sheetName val="FOR. PROD. CA"/>
      <sheetName val="C. AZUFRADO"/>
      <sheetName val="ASPIRINA"/>
      <sheetName val="AFORADO"/>
      <sheetName val="Dosis ATE 1"/>
      <sheetName val="Dosis ATE "/>
      <sheetName val="Dosis ASI"/>
      <sheetName val="Dosis ASI 1"/>
      <sheetName val="Dosis ESM"/>
      <sheetName val="NOTAS"/>
      <sheetName val="Hoja1"/>
    </sheetNames>
    <sheetDataSet>
      <sheetData sheetId="0"/>
      <sheetData sheetId="1"/>
      <sheetData sheetId="2"/>
      <sheetData sheetId="3"/>
      <sheetData sheetId="4"/>
      <sheetData sheetId="5"/>
      <sheetData sheetId="6"/>
      <sheetData sheetId="7"/>
      <sheetData sheetId="8"/>
      <sheetData sheetId="9"/>
      <sheetData sheetId="10"/>
      <sheetData sheetId="11">
        <row r="3">
          <cell r="B3">
            <v>117</v>
          </cell>
          <cell r="V3">
            <v>7</v>
          </cell>
        </row>
        <row r="34">
          <cell r="W34">
            <v>46</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Mayo Operativo"/>
      <sheetName val="1.Vtas Importe"/>
      <sheetName val="1.Vtas en unidad"/>
      <sheetName val="COSTO GERENCIA"/>
      <sheetName val="LOGISTICA"/>
      <sheetName val="EMPAQUE Y EMBARQUE"/>
      <sheetName val="REC. FINANCIEROS"/>
      <sheetName val="REC. HUMANOS"/>
      <sheetName val="GENERALES"/>
      <sheetName val="REC. MATERIALES"/>
      <sheetName val="ENGRAPADO"/>
      <sheetName val="OTROS"/>
      <sheetName val="GDL"/>
      <sheetName val="TAP"/>
      <sheetName val="TOTALES GLOBALES"/>
      <sheetName val="COMPRAS"/>
      <sheetName val="EDO RESULT  "/>
      <sheetName val="GRAFIAS DE RESULTADOS DE CLO 20"/>
      <sheetName val="GRAFIAS%20DE%20RESULTADOS%20DE%"/>
    </sheetNames>
    <definedNames>
      <definedName name="Funciones_Activos_Fijos" refersTo="#¡REF!"/>
      <definedName name="Funciones_Catalogo" refersTo="#¡REF!"/>
      <definedName name="Funciones_Componente" refersTo="#¡REF!"/>
      <definedName name="Funciones_Devolucion" refersTo="#¡REF!"/>
      <definedName name="Funciones_Empresa" refersTo="#¡REF!"/>
      <definedName name="Funciones_Fechas_Periodos" refersTo="#¡REF!"/>
      <definedName name="Funciones_Movimientos" refersTo="#¡REF!"/>
      <definedName name="Funciones_Polizas" refersTo="#¡REF!"/>
      <definedName name="Funciones_Saldos" refersTo="#¡REF!"/>
      <definedName name="Funciones_Tablas" refersTo="#¡REF!"/>
      <definedName name="Ir_Inicio" refersTo="#¡REF!"/>
      <definedName name="Tema_2" refersTo="#¡REF!"/>
      <definedName name="Tema_3" refersTo="#¡REF!"/>
      <definedName name="Tema_4" refersTo="#¡REF!"/>
      <definedName name="Tema_5" refersTo="#¡REF!"/>
      <definedName name="Tema_6"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bicaciones"/>
      <sheetName val="GRAPHS"/>
      <sheetName val="TD"/>
      <sheetName val="BD Entredas_Salidas Miel"/>
      <sheetName val="Miel"/>
      <sheetName val="% Varroa"/>
      <sheetName val="Inventario Fisico"/>
      <sheetName val="Perdidas"/>
      <sheetName val="apiarios"/>
      <sheetName val="Reinas 2024"/>
      <sheetName val="Calendario de abejas"/>
      <sheetName val="Años"/>
      <sheetName val="Alimentación 2024"/>
      <sheetName val="Pasta proteica 2024"/>
      <sheetName val="enjambres"/>
      <sheetName val="Miel Kg."/>
      <sheetName val="Reinas 2023"/>
      <sheetName val="Reinas Sicar"/>
      <sheetName val="Alimentacion2023"/>
      <sheetName val="Aplicación hormigas"/>
      <sheetName val="Herbicida"/>
      <sheetName val="botellas "/>
      <sheetName val="Bases"/>
    </sheetNames>
    <sheetDataSet>
      <sheetData sheetId="0"/>
      <sheetData sheetId="1"/>
      <sheetData sheetId="2"/>
      <sheetData sheetId="3"/>
      <sheetData sheetId="4">
        <row r="12">
          <cell r="GU12">
            <v>479.58571428571429</v>
          </cell>
          <cell r="GW12">
            <v>567.49857142857138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ae" refreshedDate="45356.539792708332" missingItemsLimit="0" createdVersion="6" refreshedVersion="6" minRefreshableVersion="3" recordCount="559" xr:uid="{8C167572-926C-493E-BE32-61054C7E9AF2}">
  <cacheSource type="worksheet">
    <worksheetSource name="BD_ENTSAL"/>
  </cacheSource>
  <cacheFields count="20">
    <cacheField name="ID" numFmtId="0">
      <sharedItems containsSemiMixedTypes="0" containsString="0" containsNumber="1" containsInteger="1" minValue="1" maxValue="559"/>
    </cacheField>
    <cacheField name="FOLIO" numFmtId="0">
      <sharedItems containsBlank="1" containsMixedTypes="1" containsNumber="1" containsInteger="1" minValue="600" maxValue="12211"/>
    </cacheField>
    <cacheField name="SEM." numFmtId="195">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FECHA" numFmtId="15">
      <sharedItems containsSemiMixedTypes="0" containsNonDate="0" containsDate="1" containsString="0" minDate="2023-01-02T00:00:00" maxDate="2023-12-31T00:00:00" count="233">
        <d v="2023-01-02T00:00:00"/>
        <d v="2023-01-04T00:00:00"/>
        <d v="2023-01-06T00:00:00"/>
        <d v="2023-01-09T00:00:00"/>
        <d v="2023-01-13T00:00:00"/>
        <d v="2023-01-14T00:00:00"/>
        <d v="2023-01-16T00:00:00"/>
        <d v="2023-01-19T00:00:00"/>
        <d v="2023-01-21T00:00:00"/>
        <d v="2023-01-24T00:00:00"/>
        <d v="2023-01-27T00:00:00"/>
        <d v="2023-01-28T00:00:00"/>
        <d v="2023-02-01T00:00:00"/>
        <d v="2023-02-02T00:00:00"/>
        <d v="2023-02-03T00:00:00"/>
        <d v="2023-02-04T00:00:00"/>
        <d v="2023-02-06T00:00:00"/>
        <d v="2023-02-09T00:00:00"/>
        <d v="2023-02-10T00:00:00"/>
        <d v="2023-02-11T00:00:00"/>
        <d v="2023-02-13T00:00:00"/>
        <d v="2023-02-15T00:00:00"/>
        <d v="2023-02-16T00:00:00"/>
        <d v="2023-02-17T00:00:00"/>
        <d v="2023-02-18T00:00:00"/>
        <d v="2023-02-20T00:00:00"/>
        <d v="2023-02-21T00:00:00"/>
        <d v="2023-02-25T00:00:00"/>
        <d v="2023-02-27T00:00:00"/>
        <d v="2023-03-01T00:00:00"/>
        <d v="2023-03-02T00:00:00"/>
        <d v="2023-03-04T00:00:00"/>
        <d v="2023-03-06T00:00:00"/>
        <d v="2023-03-08T00:00:00"/>
        <d v="2023-03-09T00:00:00"/>
        <d v="2023-03-11T00:00:00"/>
        <d v="2023-03-13T00:00:00"/>
        <d v="2023-03-15T00:00:00"/>
        <d v="2023-03-16T00:00:00"/>
        <d v="2023-03-18T00:00:00"/>
        <d v="2023-03-20T00:00:00"/>
        <d v="2023-03-21T00:00:00"/>
        <d v="2023-03-22T00:00:00"/>
        <d v="2023-03-23T00:00:00"/>
        <d v="2023-03-24T00:00:00"/>
        <d v="2023-03-25T00:00:00"/>
        <d v="2023-03-27T00:00:00"/>
        <d v="2023-03-28T00:00:00"/>
        <d v="2023-03-29T00:00:00"/>
        <d v="2023-03-31T00:00:00"/>
        <d v="2023-04-01T00:00:00"/>
        <d v="2023-04-02T00:00:00"/>
        <d v="2023-04-03T00:00:00"/>
        <d v="2023-04-04T00:00:00"/>
        <d v="2023-04-05T00:00:00"/>
        <d v="2023-04-08T00:00:00"/>
        <d v="2023-04-10T00:00:00"/>
        <d v="2023-04-11T00:00:00"/>
        <d v="2023-04-12T00:00:00"/>
        <d v="2023-04-15T00:00:00"/>
        <d v="2023-04-17T00:00:00"/>
        <d v="2023-04-18T00:00:00"/>
        <d v="2023-04-20T00:00:00"/>
        <d v="2023-04-22T00:00:00"/>
        <d v="2023-04-24T00:00:00"/>
        <d v="2023-04-25T00:00:00"/>
        <d v="2023-04-26T00:00:00"/>
        <d v="2023-04-27T00:00:00"/>
        <d v="2023-04-29T00:00:00"/>
        <d v="2023-05-02T00:00:00"/>
        <d v="2023-05-03T00:00:00"/>
        <d v="2023-05-04T00:00:00"/>
        <d v="2023-05-06T00:00:00"/>
        <d v="2023-05-08T00:00:00"/>
        <d v="2023-05-09T00:00:00"/>
        <d v="2023-05-11T00:00:00"/>
        <d v="2023-05-12T00:00:00"/>
        <d v="2023-05-13T00:00:00"/>
        <d v="2023-05-15T00:00:00"/>
        <d v="2023-05-16T00:00:00"/>
        <d v="2023-05-18T00:00:00"/>
        <d v="2023-05-19T00:00:00"/>
        <d v="2023-05-20T00:00:00"/>
        <d v="2023-05-22T00:00:00"/>
        <d v="2023-05-23T00:00:00"/>
        <d v="2023-05-25T00:00:00"/>
        <d v="2023-05-26T00:00:00"/>
        <d v="2023-05-27T00:00:00"/>
        <d v="2023-05-29T00:00:00"/>
        <d v="2023-05-30T00:00:00"/>
        <d v="2023-05-31T00:00:00"/>
        <d v="2023-06-01T00:00:00"/>
        <d v="2023-06-02T00:00:00"/>
        <d v="2023-06-03T00:00:00"/>
        <d v="2023-06-05T00:00:00"/>
        <d v="2023-06-06T00:00:00"/>
        <d v="2023-06-07T00:00:00"/>
        <d v="2023-06-08T00:00:00"/>
        <d v="2023-06-09T00:00:00"/>
        <d v="2023-06-10T00:00:00"/>
        <d v="2023-06-12T00:00:00"/>
        <d v="2023-06-14T00:00:00"/>
        <d v="2023-06-16T00:00:00"/>
        <d v="2023-06-17T00:00:00"/>
        <d v="2023-06-19T00:00:00"/>
        <d v="2023-06-20T00:00:00"/>
        <d v="2023-06-21T00:00:00"/>
        <d v="2023-06-22T00:00:00"/>
        <d v="2023-06-23T00:00:00"/>
        <d v="2023-06-24T00:00:00"/>
        <d v="2023-06-26T00:00:00"/>
        <d v="2023-06-27T00:00:00"/>
        <d v="2023-06-29T00:00:00"/>
        <d v="2023-06-30T00:00:00"/>
        <d v="2023-07-03T00:00:00"/>
        <d v="2023-07-04T00:00:00"/>
        <d v="2023-07-07T00:00:00"/>
        <d v="2023-07-08T00:00:00"/>
        <d v="2023-07-11T00:00:00"/>
        <d v="2023-07-14T00:00:00"/>
        <d v="2023-07-15T00:00:00"/>
        <d v="2023-07-17T00:00:00"/>
        <d v="2023-07-18T00:00:00"/>
        <d v="2023-07-19T00:00:00"/>
        <d v="2023-07-20T00:00:00"/>
        <d v="2023-07-22T00:00:00"/>
        <d v="2023-07-25T00:00:00"/>
        <d v="2023-07-26T00:00:00"/>
        <d v="2023-07-27T00:00:00"/>
        <d v="2023-07-28T00:00:00"/>
        <d v="2023-07-29T00:00:00"/>
        <d v="2023-08-01T00:00:00"/>
        <d v="2023-08-04T00:00:00"/>
        <d v="2023-08-05T00:00:00"/>
        <d v="2023-08-07T00:00:00"/>
        <d v="2023-08-08T00:00:00"/>
        <d v="2023-08-10T00:00:00"/>
        <d v="2023-08-11T00:00:00"/>
        <d v="2023-08-12T00:00:00"/>
        <d v="2023-08-14T00:00:00"/>
        <d v="2023-08-15T00:00:00"/>
        <d v="2023-08-16T00:00:00"/>
        <d v="2023-08-18T00:00:00"/>
        <d v="2023-08-19T00:00:00"/>
        <d v="2023-08-21T00:00:00"/>
        <d v="2023-08-24T00:00:00"/>
        <d v="2023-08-25T00:00:00"/>
        <d v="2023-08-26T00:00:00"/>
        <d v="2023-08-28T00:00:00"/>
        <d v="2023-08-29T00:00:00"/>
        <d v="2023-08-30T00:00:00"/>
        <d v="2023-08-31T00:00:00"/>
        <d v="2023-09-01T00:00:00"/>
        <d v="2023-09-02T00:00:00"/>
        <d v="2023-09-05T00:00:00"/>
        <d v="2023-09-06T00:00:00"/>
        <d v="2023-09-08T00:00:00"/>
        <d v="2023-09-09T00:00:00"/>
        <d v="2023-09-12T00:00:00"/>
        <d v="2023-09-13T00:00:00"/>
        <d v="2023-09-14T00:00:00"/>
        <d v="2023-09-15T00:00:00"/>
        <d v="2023-09-16T00:00:00"/>
        <d v="2023-09-18T00:00:00"/>
        <d v="2023-09-19T00:00:00"/>
        <d v="2023-09-20T00:00:00"/>
        <d v="2023-09-21T00:00:00"/>
        <d v="2023-09-22T00:00:00"/>
        <d v="2023-09-23T00:00:00"/>
        <d v="2023-09-25T00:00:00"/>
        <d v="2023-09-26T00:00:00"/>
        <d v="2023-09-27T00:00:00"/>
        <d v="2023-09-28T00:00:00"/>
        <d v="2023-09-29T00:00:00"/>
        <d v="2023-09-30T00:00:00"/>
        <d v="2023-10-02T00:00:00"/>
        <d v="2023-10-04T00:00:00"/>
        <d v="2023-10-05T00:00:00"/>
        <d v="2023-10-06T00:00:00"/>
        <d v="2023-10-07T00:00:00"/>
        <d v="2023-10-09T00:00:00"/>
        <d v="2023-10-10T00:00:00"/>
        <d v="2023-10-11T00:00:00"/>
        <d v="2023-10-12T00:00:00"/>
        <d v="2023-10-13T00:00:00"/>
        <d v="2023-10-18T00:00:00"/>
        <d v="2023-10-19T00:00:00"/>
        <d v="2023-10-20T00:00:00"/>
        <d v="2023-10-24T00:00:00"/>
        <d v="2023-10-25T00:00:00"/>
        <d v="2023-10-26T00:00:00"/>
        <d v="2023-10-27T00:00:00"/>
        <d v="2023-10-31T00:00:00"/>
        <d v="2023-11-02T00:00:00"/>
        <d v="2023-11-03T00:00:00"/>
        <d v="2023-11-06T00:00:00"/>
        <d v="2023-11-08T00:00:00"/>
        <d v="2023-11-09T00:00:00"/>
        <d v="2023-11-10T00:00:00"/>
        <d v="2023-11-11T00:00:00"/>
        <d v="2023-11-16T00:00:00"/>
        <d v="2023-11-17T00:00:00"/>
        <d v="2023-11-18T00:00:00"/>
        <d v="2023-11-21T00:00:00"/>
        <d v="2023-11-22T00:00:00"/>
        <d v="2023-11-23T00:00:00"/>
        <d v="2023-11-24T00:00:00"/>
        <d v="2023-11-25T00:00:00"/>
        <d v="2023-11-27T00:00:00"/>
        <d v="2023-11-29T00:00:00"/>
        <d v="2023-11-30T00:00:00"/>
        <d v="2023-12-01T00:00:00"/>
        <d v="2023-12-02T00:00:00"/>
        <d v="2023-12-04T00:00:00"/>
        <d v="2023-12-05T00:00:00"/>
        <d v="2023-12-06T00:00:00"/>
        <d v="2023-12-07T00:00:00"/>
        <d v="2023-12-08T00:00:00"/>
        <d v="2023-12-12T00:00:00"/>
        <d v="2023-12-13T00:00:00"/>
        <d v="2023-12-14T00:00:00"/>
        <d v="2023-12-15T00:00:00"/>
        <d v="2023-12-16T00:00:00"/>
        <d v="2023-12-18T00:00:00"/>
        <d v="2023-12-19T00:00:00"/>
        <d v="2023-12-20T00:00:00"/>
        <d v="2023-12-21T00:00:00"/>
        <d v="2023-12-22T00:00:00"/>
        <d v="2023-12-23T00:00:00"/>
        <d v="2023-12-27T00:00:00"/>
        <d v="2023-12-28T00:00:00"/>
        <d v="2023-12-29T00:00:00"/>
        <d v="2023-12-30T00:00:00"/>
      </sharedItems>
      <fieldGroup par="18" base="3">
        <rangePr groupBy="days" startDate="2023-01-02T00:00:00" endDate="2023-12-31T00:00:00"/>
        <groupItems count="368">
          <s v="&lt;02/01/2023"/>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31/12/2023"/>
        </groupItems>
      </fieldGroup>
    </cacheField>
    <cacheField name="CLIENTE" numFmtId="0">
      <sharedItems containsBlank="1"/>
    </cacheField>
    <cacheField name="RESP. ÁREA" numFmtId="0">
      <sharedItems containsBlank="1"/>
    </cacheField>
    <cacheField name="RANCHO" numFmtId="0">
      <sharedItems containsBlank="1"/>
    </cacheField>
    <cacheField name="# Orden compras" numFmtId="0">
      <sharedItems containsBlank="1"/>
    </cacheField>
    <cacheField name="OPERACIÓN" numFmtId="0">
      <sharedItems count="2">
        <s v="Producción"/>
        <s v="Salida"/>
      </sharedItems>
    </cacheField>
    <cacheField name="CONCEPTO" numFmtId="0">
      <sharedItems count="12">
        <s v="MultiRoot"/>
        <s v="Lixiviado"/>
        <s v="CT_Citri"/>
        <s v="Crisopas"/>
        <s v="Jadam"/>
        <s v="MD_Citri"/>
        <s v="Miel"/>
        <s v="Composta"/>
        <s v="Vermicomposta"/>
        <s v="Nitrabor_Liq"/>
        <s v="CitroFol_D"/>
        <s v="Ter_Can"/>
      </sharedItems>
    </cacheField>
    <cacheField name="DEPTO." numFmtId="0">
      <sharedItems/>
    </cacheField>
    <cacheField name="$/COSTO" numFmtId="184">
      <sharedItems containsString="0" containsBlank="1" containsNumber="1" minValue="0.75" maxValue="17000"/>
    </cacheField>
    <cacheField name="$/VENTA" numFmtId="0">
      <sharedItems containsString="0" containsBlank="1" containsNumber="1" minValue="1.2" maxValue="42000"/>
    </cacheField>
    <cacheField name="PRODUCCIÓN" numFmtId="4">
      <sharedItems containsString="0" containsBlank="1" containsNumber="1" minValue="0.38100000000000001" maxValue="192000"/>
    </cacheField>
    <cacheField name="SALIDA" numFmtId="4">
      <sharedItems containsString="0" containsBlank="1" containsNumber="1" minValue="-1340" maxValue="116870"/>
    </cacheField>
    <cacheField name="($) COSTO" numFmtId="184">
      <sharedItems containsMixedTypes="1" containsNumber="1" minValue="2776.9467619047623" maxValue="346059.62757811643"/>
    </cacheField>
    <cacheField name="($) VENTA" numFmtId="184">
      <sharedItems containsMixedTypes="1" containsNumber="1" minValue="82.5" maxValue="320000"/>
    </cacheField>
    <cacheField name="Meses" numFmtId="0" databaseField="0">
      <fieldGroup base="3">
        <rangePr groupBy="months" startDate="2023-01-02T00:00:00" endDate="2023-12-31T00:00:00"/>
        <groupItems count="14">
          <s v="&lt;02/01/2023"/>
          <s v="ene"/>
          <s v="feb"/>
          <s v="mar"/>
          <s v="abr"/>
          <s v="may"/>
          <s v="jun"/>
          <s v="jul"/>
          <s v="ago"/>
          <s v="sep"/>
          <s v="oct"/>
          <s v="nov"/>
          <s v="dic"/>
          <s v="&gt;31/12/2023"/>
        </groupItems>
      </fieldGroup>
    </cacheField>
    <cacheField name="Años" numFmtId="0" databaseField="0">
      <fieldGroup base="3">
        <rangePr groupBy="years" startDate="2023-01-02T00:00:00" endDate="2023-12-31T00:00:00"/>
        <groupItems count="3">
          <s v="&lt;02/01/2023"/>
          <s v="2023"/>
          <s v="&gt;31/12/2023"/>
        </groupItems>
      </fieldGroup>
    </cacheField>
    <cacheField name="Stock" numFmtId="0" formula="PRODUCCIÓN-SALIDA" databaseField="0"/>
  </cacheFields>
  <extLst>
    <ext xmlns:x14="http://schemas.microsoft.com/office/spreadsheetml/2009/9/main" uri="{725AE2AE-9491-48be-B2B4-4EB974FC3084}">
      <x14:pivotCacheDefinition pivotCacheId="210316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
  <r>
    <n v="1"/>
    <m/>
    <x v="0"/>
    <x v="0"/>
    <m/>
    <m/>
    <m/>
    <m/>
    <x v="0"/>
    <x v="0"/>
    <s v="Biofertilizantes"/>
    <n v="27.769467619047621"/>
    <m/>
    <n v="4400"/>
    <m/>
    <n v="122185.65752380952"/>
    <s v=""/>
  </r>
  <r>
    <n v="2"/>
    <m/>
    <x v="0"/>
    <x v="0"/>
    <m/>
    <m/>
    <m/>
    <m/>
    <x v="0"/>
    <x v="0"/>
    <s v="Biofertilizantes"/>
    <n v="27.769467619047621"/>
    <m/>
    <n v="2000"/>
    <m/>
    <n v="55538.93523809524"/>
    <s v=""/>
  </r>
  <r>
    <n v="3"/>
    <m/>
    <x v="0"/>
    <x v="0"/>
    <s v="Almacen"/>
    <m/>
    <m/>
    <m/>
    <x v="1"/>
    <x v="0"/>
    <s v="Biofertilizantes"/>
    <m/>
    <n v="40"/>
    <m/>
    <n v="4400"/>
    <s v=""/>
    <n v="176000"/>
  </r>
  <r>
    <n v="4"/>
    <m/>
    <x v="0"/>
    <x v="0"/>
    <m/>
    <m/>
    <m/>
    <m/>
    <x v="0"/>
    <x v="1"/>
    <s v="Biofertilizantes"/>
    <n v="0.75"/>
    <m/>
    <n v="20000"/>
    <m/>
    <n v="15000"/>
    <s v=""/>
  </r>
  <r>
    <n v="5"/>
    <m/>
    <x v="0"/>
    <x v="0"/>
    <m/>
    <m/>
    <m/>
    <m/>
    <x v="0"/>
    <x v="2"/>
    <s v="Biorepelentes"/>
    <n v="247.18544827008316"/>
    <m/>
    <n v="1000"/>
    <m/>
    <n v="247185.44827008314"/>
    <s v=""/>
  </r>
  <r>
    <n v="6"/>
    <m/>
    <x v="0"/>
    <x v="0"/>
    <m/>
    <m/>
    <m/>
    <m/>
    <x v="0"/>
    <x v="3"/>
    <s v="Control Biologico"/>
    <m/>
    <m/>
    <n v="1.085"/>
    <m/>
    <s v=""/>
    <s v=""/>
  </r>
  <r>
    <n v="7"/>
    <m/>
    <x v="0"/>
    <x v="0"/>
    <m/>
    <m/>
    <m/>
    <m/>
    <x v="0"/>
    <x v="4"/>
    <s v="Biorepelentes"/>
    <m/>
    <m/>
    <n v="1060"/>
    <m/>
    <s v=""/>
    <s v=""/>
  </r>
  <r>
    <n v="8"/>
    <m/>
    <x v="0"/>
    <x v="0"/>
    <m/>
    <m/>
    <m/>
    <m/>
    <x v="0"/>
    <x v="5"/>
    <s v="Biorepelentes"/>
    <m/>
    <m/>
    <n v="600"/>
    <m/>
    <s v=""/>
    <s v=""/>
  </r>
  <r>
    <n v="9"/>
    <m/>
    <x v="0"/>
    <x v="0"/>
    <m/>
    <m/>
    <m/>
    <m/>
    <x v="0"/>
    <x v="6"/>
    <s v="Apicultura"/>
    <m/>
    <m/>
    <n v="7273.7"/>
    <m/>
    <s v=""/>
    <s v=""/>
  </r>
  <r>
    <n v="10"/>
    <m/>
    <x v="0"/>
    <x v="0"/>
    <m/>
    <m/>
    <m/>
    <m/>
    <x v="0"/>
    <x v="7"/>
    <s v="Biofertilizantes"/>
    <n v="1.25"/>
    <m/>
    <n v="188000"/>
    <m/>
    <n v="235000"/>
    <s v=""/>
  </r>
  <r>
    <n v="11"/>
    <s v="F10559,F10574"/>
    <x v="0"/>
    <x v="1"/>
    <s v="Zona_V"/>
    <s v="Pitahayas"/>
    <s v="Pitahayas"/>
    <m/>
    <x v="1"/>
    <x v="1"/>
    <s v="Biofertilizantes"/>
    <m/>
    <n v="1.2"/>
    <m/>
    <n v="800"/>
    <s v=""/>
    <n v="960"/>
  </r>
  <r>
    <n v="12"/>
    <n v="10560"/>
    <x v="0"/>
    <x v="2"/>
    <m/>
    <m/>
    <m/>
    <m/>
    <x v="1"/>
    <x v="7"/>
    <s v="Biofertilizantes"/>
    <m/>
    <n v="2"/>
    <m/>
    <n v="13350"/>
    <s v=""/>
    <n v="26700"/>
  </r>
  <r>
    <n v="13"/>
    <n v="600"/>
    <x v="0"/>
    <x v="2"/>
    <s v="Almacen"/>
    <s v="Marco Bentancourt"/>
    <s v="Marco Bentancourt"/>
    <s v="OC-CS-0498"/>
    <x v="1"/>
    <x v="2"/>
    <s v="Biorepelentes"/>
    <m/>
    <n v="299"/>
    <m/>
    <n v="200"/>
    <s v=""/>
    <n v="59800"/>
  </r>
  <r>
    <n v="14"/>
    <n v="600"/>
    <x v="0"/>
    <x v="2"/>
    <s v="Almacen"/>
    <s v="Marco Bentancourt"/>
    <s v="Marco Bentancourt"/>
    <s v="OC-CS-0499"/>
    <x v="1"/>
    <x v="5"/>
    <s v="Biorepelentes"/>
    <m/>
    <n v="240"/>
    <m/>
    <n v="200"/>
    <s v=""/>
    <n v="48000"/>
  </r>
  <r>
    <n v="15"/>
    <m/>
    <x v="0"/>
    <x v="2"/>
    <m/>
    <m/>
    <m/>
    <m/>
    <x v="0"/>
    <x v="3"/>
    <s v="Control Biologico"/>
    <n v="17000"/>
    <m/>
    <n v="1.2190000000000001"/>
    <m/>
    <n v="20723"/>
    <s v=""/>
  </r>
  <r>
    <n v="16"/>
    <m/>
    <x v="0"/>
    <x v="2"/>
    <s v="Control_Biologico"/>
    <s v="Luis Naranjo"/>
    <s v="Siembra"/>
    <m/>
    <x v="1"/>
    <x v="3"/>
    <s v="Control Biologico"/>
    <m/>
    <m/>
    <m/>
    <n v="0.11"/>
    <s v=""/>
    <s v=""/>
  </r>
  <r>
    <n v="17"/>
    <m/>
    <x v="0"/>
    <x v="2"/>
    <m/>
    <m/>
    <m/>
    <m/>
    <x v="1"/>
    <x v="3"/>
    <s v="Control Biologico"/>
    <m/>
    <n v="12400"/>
    <m/>
    <n v="0.63"/>
    <s v=""/>
    <n v="7812"/>
  </r>
  <r>
    <n v="18"/>
    <m/>
    <x v="0"/>
    <x v="2"/>
    <m/>
    <m/>
    <m/>
    <m/>
    <x v="1"/>
    <x v="6"/>
    <s v="Apicultura"/>
    <m/>
    <n v="82.5"/>
    <m/>
    <n v="80"/>
    <s v=""/>
    <n v="6600"/>
  </r>
  <r>
    <n v="19"/>
    <m/>
    <x v="1"/>
    <x v="3"/>
    <m/>
    <m/>
    <m/>
    <m/>
    <x v="0"/>
    <x v="0"/>
    <s v="Biofertilizantes"/>
    <n v="27.769467619047621"/>
    <m/>
    <n v="1000"/>
    <m/>
    <n v="27769.46761904762"/>
    <s v=""/>
  </r>
  <r>
    <n v="20"/>
    <n v="601"/>
    <x v="1"/>
    <x v="4"/>
    <s v="Almacen"/>
    <s v="Marco Bentancourt"/>
    <s v="Marco Bentancourt"/>
    <s v="OC-CS-0508"/>
    <x v="1"/>
    <x v="0"/>
    <s v="Biofertilizantes"/>
    <m/>
    <n v="40"/>
    <m/>
    <n v="1000"/>
    <s v=""/>
    <n v="40000"/>
  </r>
  <r>
    <n v="21"/>
    <m/>
    <x v="1"/>
    <x v="4"/>
    <m/>
    <m/>
    <m/>
    <m/>
    <x v="0"/>
    <x v="3"/>
    <s v="Control Biologico"/>
    <n v="17000"/>
    <m/>
    <n v="1.528"/>
    <m/>
    <n v="25976"/>
    <s v=""/>
  </r>
  <r>
    <n v="22"/>
    <m/>
    <x v="1"/>
    <x v="4"/>
    <m/>
    <m/>
    <m/>
    <m/>
    <x v="1"/>
    <x v="3"/>
    <s v="Control Biologico"/>
    <m/>
    <n v="12400"/>
    <m/>
    <n v="1.0349999999999999"/>
    <s v=""/>
    <n v="12833.999999999998"/>
  </r>
  <r>
    <n v="23"/>
    <m/>
    <x v="1"/>
    <x v="4"/>
    <m/>
    <m/>
    <m/>
    <m/>
    <x v="1"/>
    <x v="6"/>
    <s v="Apicultura"/>
    <m/>
    <n v="82.5"/>
    <m/>
    <n v="66"/>
    <s v=""/>
    <n v="5445"/>
  </r>
  <r>
    <n v="24"/>
    <s v="f10568,f10569, f10570, f10571, f10572,f10573"/>
    <x v="1"/>
    <x v="5"/>
    <m/>
    <m/>
    <m/>
    <m/>
    <x v="1"/>
    <x v="7"/>
    <s v="Biofertilizantes"/>
    <m/>
    <n v="2"/>
    <m/>
    <n v="66080"/>
    <s v=""/>
    <n v="132160"/>
  </r>
  <r>
    <n v="25"/>
    <m/>
    <x v="1"/>
    <x v="5"/>
    <m/>
    <m/>
    <m/>
    <m/>
    <x v="0"/>
    <x v="8"/>
    <s v="Biofertilizantes"/>
    <n v="2.2000000000000002"/>
    <m/>
    <n v="21000"/>
    <m/>
    <n v="46200.000000000007"/>
    <s v=""/>
  </r>
  <r>
    <n v="26"/>
    <m/>
    <x v="2"/>
    <x v="6"/>
    <m/>
    <m/>
    <m/>
    <m/>
    <x v="1"/>
    <x v="6"/>
    <s v="Apicultura"/>
    <m/>
    <n v="82.5"/>
    <m/>
    <n v="36"/>
    <s v=""/>
    <n v="2970"/>
  </r>
  <r>
    <n v="27"/>
    <m/>
    <x v="2"/>
    <x v="6"/>
    <m/>
    <m/>
    <m/>
    <m/>
    <x v="1"/>
    <x v="6"/>
    <s v="Apicultura"/>
    <m/>
    <m/>
    <m/>
    <n v="3"/>
    <s v=""/>
    <s v=""/>
  </r>
  <r>
    <n v="28"/>
    <n v="602"/>
    <x v="2"/>
    <x v="6"/>
    <s v="Almacen"/>
    <s v="Marco Bentancourt"/>
    <s v="Marco Bentancourt"/>
    <s v="OC-CS-0509"/>
    <x v="1"/>
    <x v="5"/>
    <s v="Biorepelentes"/>
    <m/>
    <n v="240"/>
    <m/>
    <n v="400"/>
    <s v=""/>
    <n v="96000"/>
  </r>
  <r>
    <n v="29"/>
    <n v="603"/>
    <x v="2"/>
    <x v="7"/>
    <s v="Almacen"/>
    <s v="Marco Bentancourt"/>
    <s v="Marco Bentancourt"/>
    <s v="OC-CS-0513"/>
    <x v="1"/>
    <x v="2"/>
    <s v="Biorepelentes"/>
    <m/>
    <n v="299"/>
    <m/>
    <n v="200"/>
    <s v=""/>
    <n v="59800"/>
  </r>
  <r>
    <n v="30"/>
    <m/>
    <x v="2"/>
    <x v="8"/>
    <m/>
    <m/>
    <m/>
    <m/>
    <x v="0"/>
    <x v="3"/>
    <s v="Control Biologico"/>
    <n v="17000"/>
    <m/>
    <n v="1.321"/>
    <m/>
    <n v="22457"/>
    <s v=""/>
  </r>
  <r>
    <n v="31"/>
    <m/>
    <x v="2"/>
    <x v="8"/>
    <s v="Control_Biologico"/>
    <s v="Luis Naranjo"/>
    <s v="Siembra"/>
    <m/>
    <x v="1"/>
    <x v="3"/>
    <s v="Control Biologico"/>
    <m/>
    <m/>
    <m/>
    <n v="0.11"/>
    <s v=""/>
    <s v=""/>
  </r>
  <r>
    <n v="32"/>
    <m/>
    <x v="2"/>
    <x v="8"/>
    <m/>
    <m/>
    <m/>
    <m/>
    <x v="1"/>
    <x v="3"/>
    <s v="Control Biologico"/>
    <m/>
    <n v="12400"/>
    <m/>
    <n v="1.28"/>
    <s v=""/>
    <n v="15872"/>
  </r>
  <r>
    <n v="33"/>
    <n v="604"/>
    <x v="3"/>
    <x v="9"/>
    <s v="Almacen"/>
    <s v="Marco Bentancourt"/>
    <s v="Marco Bentancourt"/>
    <s v="OC-CS-0516"/>
    <x v="1"/>
    <x v="0"/>
    <s v="Biofertilizantes"/>
    <m/>
    <n v="40"/>
    <m/>
    <n v="1200"/>
    <s v=""/>
    <n v="48000"/>
  </r>
  <r>
    <n v="34"/>
    <n v="605"/>
    <x v="3"/>
    <x v="10"/>
    <s v="Almacen"/>
    <s v="Marco Bentancourt"/>
    <s v="Marco Bentancourt"/>
    <s v="OC-CS-0519"/>
    <x v="1"/>
    <x v="2"/>
    <s v="Biorepelentes"/>
    <m/>
    <n v="299"/>
    <m/>
    <n v="600"/>
    <s v=""/>
    <n v="179400"/>
  </r>
  <r>
    <n v="35"/>
    <m/>
    <x v="3"/>
    <x v="10"/>
    <m/>
    <m/>
    <m/>
    <m/>
    <x v="0"/>
    <x v="6"/>
    <s v="Apicultura"/>
    <n v="287.6268905420971"/>
    <m/>
    <n v="145.62"/>
    <m/>
    <n v="41884.227800740184"/>
    <s v=""/>
  </r>
  <r>
    <n v="36"/>
    <m/>
    <x v="3"/>
    <x v="10"/>
    <m/>
    <m/>
    <m/>
    <m/>
    <x v="1"/>
    <x v="6"/>
    <s v="Apicultura"/>
    <m/>
    <n v="82.5"/>
    <m/>
    <n v="40"/>
    <s v=""/>
    <n v="3300"/>
  </r>
  <r>
    <n v="37"/>
    <m/>
    <x v="3"/>
    <x v="10"/>
    <m/>
    <m/>
    <m/>
    <m/>
    <x v="1"/>
    <x v="6"/>
    <s v="Apicultura"/>
    <m/>
    <m/>
    <m/>
    <n v="14"/>
    <s v=""/>
    <s v=""/>
  </r>
  <r>
    <n v="38"/>
    <m/>
    <x v="3"/>
    <x v="11"/>
    <m/>
    <m/>
    <m/>
    <m/>
    <x v="0"/>
    <x v="3"/>
    <s v="Control Biologico"/>
    <n v="17000"/>
    <m/>
    <n v="1.0740000000000001"/>
    <m/>
    <n v="18258"/>
    <s v=""/>
  </r>
  <r>
    <n v="39"/>
    <m/>
    <x v="3"/>
    <x v="11"/>
    <m/>
    <m/>
    <m/>
    <m/>
    <x v="1"/>
    <x v="3"/>
    <s v="Control Biologico"/>
    <m/>
    <n v="12400"/>
    <m/>
    <n v="0.59499999999999997"/>
    <s v=""/>
    <n v="7378"/>
  </r>
  <r>
    <n v="40"/>
    <m/>
    <x v="3"/>
    <x v="11"/>
    <s v="Externo"/>
    <s v="Uribsin"/>
    <s v="Uribsin"/>
    <m/>
    <x v="1"/>
    <x v="3"/>
    <s v="Control Biologico"/>
    <m/>
    <n v="25000"/>
    <m/>
    <n v="1.2"/>
    <s v=""/>
    <n v="30000"/>
  </r>
  <r>
    <n v="41"/>
    <m/>
    <x v="3"/>
    <x v="11"/>
    <s v="MultiRoot_P"/>
    <s v="Esteban Gtz"/>
    <s v="Biofertilizantes"/>
    <m/>
    <x v="1"/>
    <x v="1"/>
    <s v="Biofertilizantes"/>
    <m/>
    <m/>
    <m/>
    <n v="1125"/>
    <s v=""/>
    <s v=""/>
  </r>
  <r>
    <n v="42"/>
    <m/>
    <x v="4"/>
    <x v="12"/>
    <m/>
    <m/>
    <m/>
    <m/>
    <x v="0"/>
    <x v="0"/>
    <s v="Biofertilizantes"/>
    <n v="27.769467619047621"/>
    <m/>
    <n v="1000"/>
    <m/>
    <n v="27769.46761904762"/>
    <s v=""/>
  </r>
  <r>
    <n v="43"/>
    <m/>
    <x v="4"/>
    <x v="12"/>
    <m/>
    <m/>
    <m/>
    <m/>
    <x v="0"/>
    <x v="2"/>
    <s v="Biorepelentes"/>
    <n v="247.18544827008316"/>
    <m/>
    <n v="400"/>
    <m/>
    <n v="98874.179308033257"/>
    <s v=""/>
  </r>
  <r>
    <n v="44"/>
    <n v="606"/>
    <x v="4"/>
    <x v="13"/>
    <s v="Almacen"/>
    <s v="Marco Bentancourt"/>
    <s v="Marco Bentancourt"/>
    <s v="OC-CS-0529"/>
    <x v="1"/>
    <x v="0"/>
    <s v="Biofertilizantes"/>
    <m/>
    <n v="40"/>
    <m/>
    <n v="1200"/>
    <s v=""/>
    <n v="48000"/>
  </r>
  <r>
    <n v="45"/>
    <n v="11952"/>
    <x v="4"/>
    <x v="14"/>
    <s v="Zona_V"/>
    <s v="Pitahayas"/>
    <s v="Pitahayas"/>
    <m/>
    <x v="1"/>
    <x v="1"/>
    <s v="Biofertilizantes"/>
    <m/>
    <n v="1.2"/>
    <m/>
    <n v="400"/>
    <s v=""/>
    <n v="480"/>
  </r>
  <r>
    <n v="46"/>
    <n v="607"/>
    <x v="4"/>
    <x v="14"/>
    <s v="Almacen"/>
    <s v="Marco Bentancourt"/>
    <s v="Marco Bentancourt"/>
    <s v="OC-CS-0534"/>
    <x v="1"/>
    <x v="2"/>
    <s v="Biorepelentes"/>
    <m/>
    <n v="299"/>
    <m/>
    <n v="400"/>
    <s v=""/>
    <n v="119600"/>
  </r>
  <r>
    <n v="47"/>
    <m/>
    <x v="4"/>
    <x v="14"/>
    <m/>
    <m/>
    <m/>
    <m/>
    <x v="0"/>
    <x v="6"/>
    <s v="Apicultura"/>
    <n v="287.6268905420971"/>
    <m/>
    <n v="198.77"/>
    <m/>
    <n v="57171.597033052647"/>
    <s v=""/>
  </r>
  <r>
    <n v="48"/>
    <m/>
    <x v="4"/>
    <x v="14"/>
    <m/>
    <m/>
    <m/>
    <m/>
    <x v="1"/>
    <x v="6"/>
    <s v="Apicultura"/>
    <m/>
    <n v="82.5"/>
    <m/>
    <n v="40"/>
    <s v=""/>
    <n v="3300"/>
  </r>
  <r>
    <n v="49"/>
    <m/>
    <x v="4"/>
    <x v="15"/>
    <m/>
    <m/>
    <m/>
    <m/>
    <x v="0"/>
    <x v="3"/>
    <s v="Control Biologico"/>
    <n v="17000"/>
    <m/>
    <n v="1.5549999999999999"/>
    <m/>
    <n v="26435"/>
    <s v=""/>
  </r>
  <r>
    <n v="50"/>
    <m/>
    <x v="4"/>
    <x v="15"/>
    <s v="Control_Biologico"/>
    <s v="Luis Naranjo"/>
    <s v="Siembra"/>
    <m/>
    <x v="1"/>
    <x v="3"/>
    <s v="Control Biologico"/>
    <m/>
    <m/>
    <m/>
    <n v="0.11"/>
    <s v=""/>
    <s v=""/>
  </r>
  <r>
    <n v="51"/>
    <m/>
    <x v="4"/>
    <x v="15"/>
    <m/>
    <m/>
    <m/>
    <m/>
    <x v="1"/>
    <x v="3"/>
    <s v="Control Biologico"/>
    <m/>
    <n v="25000"/>
    <m/>
    <n v="0.51500000000000001"/>
    <s v=""/>
    <n v="12875"/>
  </r>
  <r>
    <n v="52"/>
    <m/>
    <x v="4"/>
    <x v="15"/>
    <s v="Externo"/>
    <s v="Uribsin"/>
    <s v="Uribsin"/>
    <m/>
    <x v="1"/>
    <x v="3"/>
    <s v="Control Biologico"/>
    <m/>
    <n v="25000"/>
    <m/>
    <n v="0.82"/>
    <s v=""/>
    <n v="20500"/>
  </r>
  <r>
    <n v="53"/>
    <m/>
    <x v="5"/>
    <x v="16"/>
    <m/>
    <m/>
    <m/>
    <m/>
    <x v="0"/>
    <x v="0"/>
    <s v="Biofertilizantes"/>
    <n v="27.769467619047621"/>
    <m/>
    <n v="1000"/>
    <m/>
    <n v="27769.46761904762"/>
    <s v=""/>
  </r>
  <r>
    <n v="54"/>
    <m/>
    <x v="5"/>
    <x v="16"/>
    <m/>
    <m/>
    <m/>
    <m/>
    <x v="0"/>
    <x v="2"/>
    <s v="Biorepelentes"/>
    <n v="247.18544827008316"/>
    <m/>
    <n v="1200"/>
    <m/>
    <n v="296622.53792409977"/>
    <s v=""/>
  </r>
  <r>
    <n v="55"/>
    <n v="608"/>
    <x v="5"/>
    <x v="17"/>
    <s v="Almacen"/>
    <s v="Marco Bentancourt"/>
    <s v="Marco Bentancourt"/>
    <s v="OC-CS-0538"/>
    <x v="1"/>
    <x v="2"/>
    <s v="Biorepelentes"/>
    <m/>
    <n v="299"/>
    <m/>
    <n v="400"/>
    <s v=""/>
    <n v="119600"/>
  </r>
  <r>
    <n v="56"/>
    <n v="609"/>
    <x v="5"/>
    <x v="18"/>
    <s v="Almacen"/>
    <s v="Marco Bentancourt"/>
    <s v="Marco Bentancourt"/>
    <s v="OC-CS-0541"/>
    <x v="1"/>
    <x v="0"/>
    <s v="Biofertilizantes"/>
    <m/>
    <n v="40"/>
    <m/>
    <n v="400"/>
    <s v=""/>
    <n v="16000"/>
  </r>
  <r>
    <n v="57"/>
    <m/>
    <x v="5"/>
    <x v="18"/>
    <m/>
    <m/>
    <m/>
    <m/>
    <x v="0"/>
    <x v="6"/>
    <s v="Apicultura"/>
    <n v="287.6268905420971"/>
    <m/>
    <n v="128.03"/>
    <m/>
    <n v="36824.870796104689"/>
    <s v=""/>
  </r>
  <r>
    <n v="58"/>
    <m/>
    <x v="5"/>
    <x v="19"/>
    <m/>
    <m/>
    <m/>
    <m/>
    <x v="0"/>
    <x v="3"/>
    <s v="Control Biologico"/>
    <n v="17000"/>
    <m/>
    <n v="1.411"/>
    <m/>
    <n v="23987"/>
    <s v=""/>
  </r>
  <r>
    <n v="59"/>
    <m/>
    <x v="5"/>
    <x v="19"/>
    <m/>
    <m/>
    <m/>
    <m/>
    <x v="1"/>
    <x v="3"/>
    <s v="Control Biologico"/>
    <m/>
    <n v="25000"/>
    <m/>
    <n v="0.71"/>
    <s v=""/>
    <n v="17750"/>
  </r>
  <r>
    <n v="60"/>
    <m/>
    <x v="5"/>
    <x v="19"/>
    <s v="Externo"/>
    <s v="Uribsin"/>
    <s v="Uribsin"/>
    <m/>
    <x v="1"/>
    <x v="3"/>
    <s v="Control Biologico"/>
    <m/>
    <n v="25000"/>
    <m/>
    <n v="0.84499999999999997"/>
    <s v=""/>
    <n v="21125"/>
  </r>
  <r>
    <n v="61"/>
    <m/>
    <x v="6"/>
    <x v="20"/>
    <m/>
    <m/>
    <m/>
    <m/>
    <x v="1"/>
    <x v="6"/>
    <s v="Apicultura"/>
    <m/>
    <m/>
    <m/>
    <n v="18"/>
    <s v=""/>
    <s v=""/>
  </r>
  <r>
    <n v="62"/>
    <m/>
    <x v="6"/>
    <x v="20"/>
    <m/>
    <m/>
    <m/>
    <m/>
    <x v="1"/>
    <x v="6"/>
    <s v="Apicultura"/>
    <m/>
    <m/>
    <m/>
    <n v="1"/>
    <s v=""/>
    <s v=""/>
  </r>
  <r>
    <n v="63"/>
    <n v="610"/>
    <x v="6"/>
    <x v="21"/>
    <s v="Almacen"/>
    <s v="Marco Bentancourt"/>
    <s v="Marco Bentancourt"/>
    <s v="OC-CS-0559"/>
    <x v="1"/>
    <x v="0"/>
    <s v="Biofertilizantes"/>
    <m/>
    <n v="40"/>
    <m/>
    <n v="1000"/>
    <s v=""/>
    <n v="40000"/>
  </r>
  <r>
    <n v="64"/>
    <m/>
    <x v="6"/>
    <x v="22"/>
    <m/>
    <m/>
    <m/>
    <m/>
    <x v="1"/>
    <x v="6"/>
    <s v="Apicultura"/>
    <m/>
    <n v="82.5"/>
    <m/>
    <n v="76"/>
    <s v=""/>
    <n v="6270"/>
  </r>
  <r>
    <n v="65"/>
    <n v="611"/>
    <x v="6"/>
    <x v="23"/>
    <s v="Almacen"/>
    <s v="Marco Bentancourt"/>
    <s v="Marco Bentancourt"/>
    <s v="OC-CON-0224"/>
    <x v="1"/>
    <x v="2"/>
    <s v="Biorepelentes"/>
    <m/>
    <n v="299"/>
    <m/>
    <n v="400"/>
    <s v=""/>
    <n v="119600"/>
  </r>
  <r>
    <n v="66"/>
    <m/>
    <x v="6"/>
    <x v="24"/>
    <m/>
    <m/>
    <m/>
    <m/>
    <x v="0"/>
    <x v="3"/>
    <s v="Control Biologico"/>
    <n v="17000"/>
    <m/>
    <n v="1.7010000000000001"/>
    <m/>
    <n v="28917"/>
    <s v=""/>
  </r>
  <r>
    <n v="67"/>
    <m/>
    <x v="6"/>
    <x v="24"/>
    <s v="Control_Biologico"/>
    <s v="Luis Naranjo"/>
    <s v="Siembra"/>
    <m/>
    <x v="1"/>
    <x v="3"/>
    <s v="Control Biologico"/>
    <m/>
    <m/>
    <m/>
    <n v="0.11"/>
    <s v=""/>
    <s v=""/>
  </r>
  <r>
    <n v="68"/>
    <m/>
    <x v="6"/>
    <x v="24"/>
    <m/>
    <m/>
    <m/>
    <m/>
    <x v="1"/>
    <x v="3"/>
    <s v="Control Biologico"/>
    <m/>
    <n v="25000"/>
    <m/>
    <n v="0.85499999999999998"/>
    <s v=""/>
    <n v="21375"/>
  </r>
  <r>
    <n v="69"/>
    <m/>
    <x v="6"/>
    <x v="24"/>
    <s v="Externo"/>
    <s v="Uribsin"/>
    <s v="Uribsin"/>
    <m/>
    <x v="1"/>
    <x v="3"/>
    <s v="Control Biologico"/>
    <m/>
    <n v="25000"/>
    <m/>
    <n v="1.1000000000000001"/>
    <s v=""/>
    <n v="27500.000000000004"/>
  </r>
  <r>
    <n v="70"/>
    <m/>
    <x v="7"/>
    <x v="25"/>
    <m/>
    <m/>
    <m/>
    <m/>
    <x v="0"/>
    <x v="0"/>
    <s v="Biofertilizantes"/>
    <n v="27.769467619047621"/>
    <m/>
    <n v="100"/>
    <m/>
    <n v="2776.9467619047623"/>
    <s v=""/>
  </r>
  <r>
    <n v="71"/>
    <m/>
    <x v="7"/>
    <x v="25"/>
    <m/>
    <m/>
    <m/>
    <m/>
    <x v="0"/>
    <x v="5"/>
    <s v="Biorepelentes"/>
    <n v="199.92359142534642"/>
    <m/>
    <n v="600"/>
    <m/>
    <n v="119954.15485520785"/>
    <s v=""/>
  </r>
  <r>
    <n v="72"/>
    <n v="612"/>
    <x v="7"/>
    <x v="26"/>
    <s v="Almacen"/>
    <s v="Marco Bentancourt"/>
    <s v="Marco Bentancourt"/>
    <s v="OC-CS-0561"/>
    <x v="1"/>
    <x v="2"/>
    <s v="Biorepelentes"/>
    <m/>
    <n v="299"/>
    <m/>
    <n v="200"/>
    <s v=""/>
    <n v="59800"/>
  </r>
  <r>
    <n v="73"/>
    <n v="612"/>
    <x v="7"/>
    <x v="26"/>
    <s v="Almacen"/>
    <s v="Marco Bentancourt"/>
    <s v="Marco Bentancourt"/>
    <s v="OC-CS-0561"/>
    <x v="1"/>
    <x v="5"/>
    <s v="Biorepelentes"/>
    <m/>
    <n v="240"/>
    <m/>
    <n v="200"/>
    <s v=""/>
    <n v="48000"/>
  </r>
  <r>
    <n v="74"/>
    <n v="613"/>
    <x v="7"/>
    <x v="26"/>
    <s v="Almacen"/>
    <s v="Marco Bentancourt"/>
    <s v="Marco Bentancourt"/>
    <s v="OC-CS-0562"/>
    <x v="1"/>
    <x v="2"/>
    <s v="Biorepelentes"/>
    <m/>
    <n v="299"/>
    <m/>
    <n v="200"/>
    <s v=""/>
    <n v="59800"/>
  </r>
  <r>
    <n v="75"/>
    <n v="613"/>
    <x v="7"/>
    <x v="26"/>
    <s v="Almacen"/>
    <s v="Marco Bentancourt"/>
    <s v="Marco Bentancourt"/>
    <s v="OC-CS-0562"/>
    <x v="1"/>
    <x v="5"/>
    <s v="Biorepelentes"/>
    <m/>
    <n v="240"/>
    <m/>
    <n v="200"/>
    <s v=""/>
    <n v="48000"/>
  </r>
  <r>
    <n v="76"/>
    <m/>
    <x v="7"/>
    <x v="27"/>
    <m/>
    <m/>
    <m/>
    <m/>
    <x v="0"/>
    <x v="3"/>
    <s v="Control Biologico"/>
    <n v="17000"/>
    <m/>
    <n v="1.766"/>
    <m/>
    <n v="30022"/>
    <s v=""/>
  </r>
  <r>
    <n v="77"/>
    <m/>
    <x v="7"/>
    <x v="27"/>
    <m/>
    <m/>
    <m/>
    <m/>
    <x v="1"/>
    <x v="3"/>
    <s v="Control Biologico"/>
    <m/>
    <n v="25000"/>
    <m/>
    <n v="0.495"/>
    <s v=""/>
    <n v="12375"/>
  </r>
  <r>
    <n v="78"/>
    <m/>
    <x v="7"/>
    <x v="27"/>
    <s v="Externo"/>
    <s v="Uribsin"/>
    <s v="Uribsin"/>
    <m/>
    <x v="1"/>
    <x v="3"/>
    <s v="Control Biologico"/>
    <m/>
    <n v="25000"/>
    <m/>
    <n v="0.9"/>
    <s v=""/>
    <n v="22500"/>
  </r>
  <r>
    <n v="79"/>
    <n v="10598"/>
    <x v="7"/>
    <x v="27"/>
    <s v="MultiRoot_P"/>
    <s v="Esteban Gtz"/>
    <s v="Biofertilizantes"/>
    <m/>
    <x v="1"/>
    <x v="1"/>
    <s v="Biofertilizantes"/>
    <m/>
    <m/>
    <m/>
    <n v="1162.5"/>
    <s v=""/>
    <s v=""/>
  </r>
  <r>
    <n v="80"/>
    <n v="614"/>
    <x v="8"/>
    <x v="28"/>
    <s v="Almacen"/>
    <s v="Marco Bentancourt"/>
    <s v="Marco Bentancourt"/>
    <s v="OC-CS-0574"/>
    <x v="1"/>
    <x v="0"/>
    <s v="Biofertilizantes"/>
    <m/>
    <n v="40"/>
    <m/>
    <n v="200"/>
    <s v=""/>
    <n v="8000"/>
  </r>
  <r>
    <n v="81"/>
    <m/>
    <x v="8"/>
    <x v="28"/>
    <m/>
    <m/>
    <m/>
    <m/>
    <x v="0"/>
    <x v="0"/>
    <s v="Biofertilizantes"/>
    <n v="27.769467619047621"/>
    <m/>
    <n v="1000"/>
    <m/>
    <n v="27769.46761904762"/>
    <s v=""/>
  </r>
  <r>
    <n v="82"/>
    <m/>
    <x v="8"/>
    <x v="28"/>
    <m/>
    <m/>
    <m/>
    <m/>
    <x v="1"/>
    <x v="6"/>
    <s v="Apicultura"/>
    <m/>
    <n v="82.5"/>
    <m/>
    <n v="40"/>
    <s v=""/>
    <n v="3300"/>
  </r>
  <r>
    <n v="83"/>
    <m/>
    <x v="8"/>
    <x v="29"/>
    <m/>
    <m/>
    <m/>
    <m/>
    <x v="0"/>
    <x v="0"/>
    <s v="Biofertilizantes"/>
    <n v="27.769467619047621"/>
    <m/>
    <n v="2000"/>
    <m/>
    <n v="55538.93523809524"/>
    <s v=""/>
  </r>
  <r>
    <n v="84"/>
    <m/>
    <x v="8"/>
    <x v="29"/>
    <m/>
    <m/>
    <m/>
    <m/>
    <x v="0"/>
    <x v="2"/>
    <s v="Biorepelentes"/>
    <n v="247.18544827008316"/>
    <m/>
    <n v="600"/>
    <m/>
    <n v="148311.26896204989"/>
    <s v=""/>
  </r>
  <r>
    <n v="85"/>
    <n v="615"/>
    <x v="8"/>
    <x v="30"/>
    <s v="Almacen"/>
    <s v="Marco Bentancourt"/>
    <s v="Marco Bentancourt"/>
    <s v="OC-CS-0574"/>
    <x v="1"/>
    <x v="0"/>
    <s v="Biofertilizantes"/>
    <m/>
    <n v="40"/>
    <m/>
    <n v="1000"/>
    <s v=""/>
    <n v="40000"/>
  </r>
  <r>
    <n v="86"/>
    <n v="615"/>
    <x v="8"/>
    <x v="30"/>
    <s v="Almacen"/>
    <s v="Marco Bentancourt"/>
    <s v="Marco Bentancourt"/>
    <s v="OC-CS-0575"/>
    <x v="1"/>
    <x v="2"/>
    <s v="Biorepelentes"/>
    <m/>
    <n v="299"/>
    <m/>
    <n v="200"/>
    <s v=""/>
    <n v="59800"/>
  </r>
  <r>
    <n v="87"/>
    <m/>
    <x v="8"/>
    <x v="31"/>
    <m/>
    <m/>
    <m/>
    <m/>
    <x v="0"/>
    <x v="3"/>
    <s v="Control Biologico"/>
    <n v="17000"/>
    <m/>
    <n v="1.994"/>
    <m/>
    <n v="33898"/>
    <s v=""/>
  </r>
  <r>
    <n v="88"/>
    <m/>
    <x v="8"/>
    <x v="31"/>
    <s v="Control_Biologico"/>
    <s v="Luis Naranjo"/>
    <s v="Siembra"/>
    <m/>
    <x v="1"/>
    <x v="3"/>
    <s v="Control Biologico"/>
    <m/>
    <m/>
    <m/>
    <n v="0.11"/>
    <s v=""/>
    <s v=""/>
  </r>
  <r>
    <n v="89"/>
    <m/>
    <x v="8"/>
    <x v="31"/>
    <m/>
    <m/>
    <m/>
    <m/>
    <x v="1"/>
    <x v="3"/>
    <s v="Control Biologico"/>
    <m/>
    <n v="25000"/>
    <m/>
    <n v="0.85"/>
    <s v=""/>
    <n v="21250"/>
  </r>
  <r>
    <n v="90"/>
    <m/>
    <x v="8"/>
    <x v="31"/>
    <m/>
    <m/>
    <m/>
    <m/>
    <x v="0"/>
    <x v="6"/>
    <s v="Apicultura"/>
    <n v="287.6268905420971"/>
    <m/>
    <n v="98.1"/>
    <m/>
    <n v="28216.197962179725"/>
    <s v=""/>
  </r>
  <r>
    <n v="91"/>
    <m/>
    <x v="8"/>
    <x v="31"/>
    <m/>
    <m/>
    <m/>
    <m/>
    <x v="1"/>
    <x v="6"/>
    <s v="Apicultura"/>
    <m/>
    <m/>
    <m/>
    <n v="1"/>
    <s v=""/>
    <s v=""/>
  </r>
  <r>
    <n v="92"/>
    <m/>
    <x v="8"/>
    <x v="31"/>
    <m/>
    <m/>
    <m/>
    <m/>
    <x v="1"/>
    <x v="6"/>
    <s v="Apicultura"/>
    <m/>
    <n v="82.5"/>
    <m/>
    <n v="40"/>
    <s v=""/>
    <n v="3300"/>
  </r>
  <r>
    <n v="93"/>
    <m/>
    <x v="9"/>
    <x v="32"/>
    <m/>
    <m/>
    <m/>
    <m/>
    <x v="0"/>
    <x v="0"/>
    <s v="Biofertilizantes"/>
    <n v="27.769467619047621"/>
    <m/>
    <n v="2000"/>
    <m/>
    <n v="55538.93523809524"/>
    <s v=""/>
  </r>
  <r>
    <n v="94"/>
    <m/>
    <x v="9"/>
    <x v="32"/>
    <m/>
    <m/>
    <m/>
    <m/>
    <x v="0"/>
    <x v="2"/>
    <s v="Biorepelentes"/>
    <n v="247.18544827008316"/>
    <m/>
    <n v="600"/>
    <m/>
    <n v="148311.26896204989"/>
    <s v=""/>
  </r>
  <r>
    <n v="95"/>
    <n v="616"/>
    <x v="9"/>
    <x v="33"/>
    <s v="Almacen"/>
    <s v="Marco Bentancourt"/>
    <s v="Marco Bentancourt"/>
    <s v="OC-CS-0580"/>
    <x v="1"/>
    <x v="2"/>
    <s v="Biorepelentes"/>
    <m/>
    <n v="299"/>
    <m/>
    <n v="600"/>
    <s v=""/>
    <n v="179400"/>
  </r>
  <r>
    <n v="96"/>
    <n v="616"/>
    <x v="9"/>
    <x v="33"/>
    <s v="Almacen"/>
    <s v="Marco Bentancourt"/>
    <s v="Marco Bentancourt"/>
    <s v="OC-CS-0584"/>
    <x v="1"/>
    <x v="5"/>
    <s v="Biorepelentes"/>
    <m/>
    <n v="240"/>
    <m/>
    <n v="200"/>
    <s v=""/>
    <n v="48000"/>
  </r>
  <r>
    <n v="97"/>
    <n v="617"/>
    <x v="9"/>
    <x v="34"/>
    <s v="Almacen"/>
    <s v="Marco Bentancourt"/>
    <s v="Marco Bentancourt"/>
    <s v="OC-CS-0581"/>
    <x v="1"/>
    <x v="0"/>
    <s v="Biofertilizantes"/>
    <m/>
    <n v="40"/>
    <m/>
    <n v="400"/>
    <s v=""/>
    <n v="16000"/>
  </r>
  <r>
    <n v="98"/>
    <m/>
    <x v="9"/>
    <x v="35"/>
    <m/>
    <m/>
    <m/>
    <m/>
    <x v="0"/>
    <x v="3"/>
    <s v="Control Biologico"/>
    <n v="17000"/>
    <m/>
    <n v="1.4319999999999999"/>
    <m/>
    <n v="24344"/>
    <s v=""/>
  </r>
  <r>
    <n v="99"/>
    <m/>
    <x v="9"/>
    <x v="35"/>
    <m/>
    <m/>
    <m/>
    <m/>
    <x v="1"/>
    <x v="3"/>
    <s v="Control Biologico"/>
    <m/>
    <n v="25000"/>
    <m/>
    <n v="1.5149999999999999"/>
    <s v=""/>
    <n v="37875"/>
  </r>
  <r>
    <n v="100"/>
    <m/>
    <x v="9"/>
    <x v="35"/>
    <s v="Externo"/>
    <s v="Banamares S.P.R."/>
    <s v="Banamares S.P.R."/>
    <m/>
    <x v="1"/>
    <x v="3"/>
    <s v="Control Biologico"/>
    <m/>
    <n v="42000"/>
    <m/>
    <n v="0.25"/>
    <s v=""/>
    <n v="10500"/>
  </r>
  <r>
    <n v="101"/>
    <m/>
    <x v="9"/>
    <x v="35"/>
    <s v="Externo"/>
    <s v="Uribsin"/>
    <s v="Uribsin"/>
    <m/>
    <x v="1"/>
    <x v="3"/>
    <s v="Control Biologico"/>
    <m/>
    <n v="25000"/>
    <m/>
    <n v="0.8"/>
    <s v=""/>
    <n v="20000"/>
  </r>
  <r>
    <n v="102"/>
    <m/>
    <x v="10"/>
    <x v="36"/>
    <m/>
    <m/>
    <m/>
    <m/>
    <x v="0"/>
    <x v="2"/>
    <s v="Biorepelentes"/>
    <n v="247.18544827008316"/>
    <m/>
    <n v="800"/>
    <m/>
    <n v="197748.35861606651"/>
    <s v=""/>
  </r>
  <r>
    <n v="103"/>
    <m/>
    <x v="10"/>
    <x v="36"/>
    <m/>
    <m/>
    <m/>
    <m/>
    <x v="0"/>
    <x v="5"/>
    <s v="Biorepelentes"/>
    <n v="199.92359142534642"/>
    <m/>
    <n v="800"/>
    <m/>
    <n v="159938.87314027714"/>
    <s v=""/>
  </r>
  <r>
    <n v="104"/>
    <m/>
    <x v="10"/>
    <x v="37"/>
    <m/>
    <m/>
    <m/>
    <m/>
    <x v="0"/>
    <x v="9"/>
    <s v="Biofertilizantes"/>
    <n v="5.8"/>
    <m/>
    <n v="12000"/>
    <m/>
    <n v="69600"/>
    <s v=""/>
  </r>
  <r>
    <n v="105"/>
    <n v="618"/>
    <x v="10"/>
    <x v="37"/>
    <s v="Almacen"/>
    <s v="Marco Bentancourt"/>
    <s v="Marco Bentancourt"/>
    <s v="OC-CS-0596"/>
    <x v="1"/>
    <x v="0"/>
    <s v="Biofertilizantes"/>
    <m/>
    <n v="40"/>
    <m/>
    <n v="800"/>
    <s v=""/>
    <n v="32000"/>
  </r>
  <r>
    <n v="106"/>
    <n v="618"/>
    <x v="10"/>
    <x v="37"/>
    <s v="Almacen"/>
    <s v="Marco Bentancourt"/>
    <s v="Marco Bentancourt"/>
    <s v="OC-CS-0595"/>
    <x v="1"/>
    <x v="2"/>
    <s v="Biorepelentes"/>
    <m/>
    <n v="299"/>
    <m/>
    <n v="400"/>
    <s v=""/>
    <n v="119600"/>
  </r>
  <r>
    <n v="107"/>
    <n v="10579"/>
    <x v="10"/>
    <x v="38"/>
    <s v="Zona_B"/>
    <s v="Alejandro Núñez"/>
    <s v="San Francisco [Persa]"/>
    <m/>
    <x v="1"/>
    <x v="9"/>
    <s v="Biofertilizantes"/>
    <m/>
    <n v="7"/>
    <m/>
    <n v="10000"/>
    <s v=""/>
    <n v="70000"/>
  </r>
  <r>
    <n v="108"/>
    <m/>
    <x v="10"/>
    <x v="38"/>
    <m/>
    <m/>
    <m/>
    <m/>
    <x v="1"/>
    <x v="6"/>
    <s v="Apicultura"/>
    <m/>
    <n v="82.5"/>
    <m/>
    <n v="59"/>
    <s v=""/>
    <n v="4867.5"/>
  </r>
  <r>
    <n v="109"/>
    <m/>
    <x v="10"/>
    <x v="39"/>
    <m/>
    <m/>
    <m/>
    <m/>
    <x v="0"/>
    <x v="3"/>
    <s v="Control Biologico"/>
    <n v="17000"/>
    <m/>
    <n v="1.736"/>
    <m/>
    <n v="29512"/>
    <s v=""/>
  </r>
  <r>
    <n v="110"/>
    <m/>
    <x v="10"/>
    <x v="39"/>
    <s v="Control_Biologico"/>
    <s v="Luis Naranjo"/>
    <s v="Siembra"/>
    <m/>
    <x v="1"/>
    <x v="3"/>
    <s v="Control Biologico"/>
    <m/>
    <m/>
    <m/>
    <n v="0.11"/>
    <s v=""/>
    <s v=""/>
  </r>
  <r>
    <n v="111"/>
    <m/>
    <x v="10"/>
    <x v="39"/>
    <s v="Externo"/>
    <s v="Agriorg Bananera"/>
    <s v="Agriorg Bananera"/>
    <m/>
    <x v="1"/>
    <x v="3"/>
    <s v="Control Biologico"/>
    <m/>
    <n v="42000"/>
    <m/>
    <n v="0.25"/>
    <s v=""/>
    <n v="10500"/>
  </r>
  <r>
    <n v="112"/>
    <n v="11990"/>
    <x v="10"/>
    <x v="39"/>
    <s v="Zona_V"/>
    <s v="Vivero"/>
    <s v="Vivero"/>
    <m/>
    <x v="1"/>
    <x v="9"/>
    <s v="Biofertilizantes"/>
    <m/>
    <n v="7"/>
    <m/>
    <n v="40"/>
    <s v=""/>
    <n v="280"/>
  </r>
  <r>
    <n v="113"/>
    <m/>
    <x v="10"/>
    <x v="39"/>
    <m/>
    <m/>
    <m/>
    <m/>
    <x v="0"/>
    <x v="9"/>
    <s v="Biofertilizantes"/>
    <n v="5.8"/>
    <m/>
    <n v="6000"/>
    <m/>
    <n v="34800"/>
    <s v=""/>
  </r>
  <r>
    <n v="114"/>
    <m/>
    <x v="11"/>
    <x v="40"/>
    <m/>
    <m/>
    <m/>
    <m/>
    <x v="0"/>
    <x v="2"/>
    <s v="Biorepelentes"/>
    <n v="247.18544827008316"/>
    <m/>
    <n v="200"/>
    <m/>
    <n v="49437.089654016629"/>
    <s v=""/>
  </r>
  <r>
    <n v="115"/>
    <m/>
    <x v="11"/>
    <x v="40"/>
    <m/>
    <m/>
    <m/>
    <m/>
    <x v="0"/>
    <x v="5"/>
    <s v="Biorepelentes"/>
    <n v="199.92359142534642"/>
    <m/>
    <n v="200"/>
    <m/>
    <n v="39984.718285069284"/>
    <s v=""/>
  </r>
  <r>
    <n v="116"/>
    <m/>
    <x v="11"/>
    <x v="41"/>
    <m/>
    <m/>
    <m/>
    <m/>
    <x v="0"/>
    <x v="9"/>
    <s v="Biofertilizantes"/>
    <n v="5.8"/>
    <m/>
    <n v="12000"/>
    <m/>
    <n v="69600"/>
    <s v=""/>
  </r>
  <r>
    <n v="117"/>
    <n v="10580"/>
    <x v="11"/>
    <x v="41"/>
    <s v="Zona_B"/>
    <s v="Alejandro Núñez"/>
    <s v="San Francisco [Persa]"/>
    <m/>
    <x v="1"/>
    <x v="9"/>
    <s v="Biofertilizantes"/>
    <m/>
    <n v="7"/>
    <m/>
    <n v="10000"/>
    <s v=""/>
    <n v="70000"/>
  </r>
  <r>
    <n v="118"/>
    <m/>
    <x v="11"/>
    <x v="42"/>
    <m/>
    <m/>
    <m/>
    <m/>
    <x v="0"/>
    <x v="9"/>
    <s v="Biofertilizantes"/>
    <n v="5.8"/>
    <m/>
    <n v="10000"/>
    <m/>
    <n v="58000"/>
    <s v=""/>
  </r>
  <r>
    <n v="119"/>
    <n v="10583"/>
    <x v="11"/>
    <x v="42"/>
    <s v="Zona_C"/>
    <s v="Rodolfo Cisneros"/>
    <s v="San Lorenzo A [Persa]"/>
    <m/>
    <x v="1"/>
    <x v="9"/>
    <s v="Biofertilizantes"/>
    <m/>
    <n v="7"/>
    <m/>
    <n v="10000"/>
    <s v=""/>
    <n v="70000"/>
  </r>
  <r>
    <n v="120"/>
    <n v="619"/>
    <x v="11"/>
    <x v="43"/>
    <s v="Externo"/>
    <s v="Yucatán"/>
    <s v="Yucatan"/>
    <s v="VENTA"/>
    <x v="1"/>
    <x v="0"/>
    <s v="Biofertilizantes"/>
    <m/>
    <n v="80"/>
    <m/>
    <n v="2160"/>
    <s v=""/>
    <n v="172800"/>
  </r>
  <r>
    <n v="121"/>
    <n v="621"/>
    <x v="11"/>
    <x v="43"/>
    <s v="Almacen"/>
    <s v="Marco Bentancourt"/>
    <s v="Marco Bentancourt"/>
    <s v="OC-CS-0609"/>
    <x v="1"/>
    <x v="5"/>
    <s v="Biorepelentes"/>
    <m/>
    <n v="240"/>
    <m/>
    <n v="200"/>
    <s v=""/>
    <n v="48000"/>
  </r>
  <r>
    <n v="122"/>
    <n v="622"/>
    <x v="11"/>
    <x v="43"/>
    <s v="Almacen"/>
    <s v="Marco Bentancourt"/>
    <s v="Marco Bentancourt"/>
    <s v="OC-CS-0608"/>
    <x v="1"/>
    <x v="2"/>
    <s v="Biorepelentes"/>
    <m/>
    <n v="299"/>
    <m/>
    <n v="200"/>
    <s v=""/>
    <n v="59800"/>
  </r>
  <r>
    <n v="123"/>
    <n v="10584"/>
    <x v="11"/>
    <x v="44"/>
    <s v="Zona_C"/>
    <s v="Rodolfo Cisneros"/>
    <s v="Mocambo A [Persa]"/>
    <m/>
    <x v="1"/>
    <x v="9"/>
    <s v="Biofertilizantes"/>
    <m/>
    <n v="7"/>
    <m/>
    <n v="8000"/>
    <s v=""/>
    <n v="56000"/>
  </r>
  <r>
    <n v="124"/>
    <m/>
    <x v="11"/>
    <x v="44"/>
    <m/>
    <m/>
    <m/>
    <m/>
    <x v="1"/>
    <x v="6"/>
    <s v="Apicultura"/>
    <m/>
    <n v="82.5"/>
    <m/>
    <n v="46"/>
    <s v=""/>
    <n v="3795"/>
  </r>
  <r>
    <n v="125"/>
    <m/>
    <x v="11"/>
    <x v="45"/>
    <m/>
    <m/>
    <m/>
    <m/>
    <x v="0"/>
    <x v="3"/>
    <s v="Control Biologico"/>
    <n v="17000"/>
    <m/>
    <n v="1.3879999999999999"/>
    <m/>
    <n v="23596"/>
    <s v=""/>
  </r>
  <r>
    <n v="126"/>
    <m/>
    <x v="11"/>
    <x v="45"/>
    <m/>
    <m/>
    <m/>
    <m/>
    <x v="1"/>
    <x v="3"/>
    <s v="Control Biologico"/>
    <m/>
    <n v="25000"/>
    <m/>
    <n v="0.64500000000000002"/>
    <s v=""/>
    <n v="16125"/>
  </r>
  <r>
    <n v="127"/>
    <m/>
    <x v="11"/>
    <x v="45"/>
    <s v="Externo"/>
    <s v="Uribsin"/>
    <s v="Uribsin"/>
    <m/>
    <x v="1"/>
    <x v="3"/>
    <s v="Control Biologico"/>
    <m/>
    <n v="25000"/>
    <m/>
    <n v="0.8"/>
    <s v=""/>
    <n v="20000"/>
  </r>
  <r>
    <n v="128"/>
    <m/>
    <x v="11"/>
    <x v="45"/>
    <s v="Externo"/>
    <s v="Banamares S.P.R."/>
    <s v="Banamares S.P.R."/>
    <m/>
    <x v="1"/>
    <x v="3"/>
    <s v="Control Biologico"/>
    <m/>
    <n v="42000"/>
    <m/>
    <n v="0.25"/>
    <s v=""/>
    <n v="10500"/>
  </r>
  <r>
    <n v="129"/>
    <n v="620"/>
    <x v="12"/>
    <x v="46"/>
    <s v="Almacen"/>
    <s v="Marco Bentancourt"/>
    <s v="Marco Bentancourt"/>
    <s v="OC-CS-0605"/>
    <x v="1"/>
    <x v="0"/>
    <s v="Biofertilizantes"/>
    <m/>
    <n v="40"/>
    <m/>
    <n v="800"/>
    <s v=""/>
    <n v="32000"/>
  </r>
  <r>
    <n v="130"/>
    <m/>
    <x v="12"/>
    <x v="46"/>
    <m/>
    <m/>
    <m/>
    <m/>
    <x v="0"/>
    <x v="0"/>
    <s v="Biofertilizantes"/>
    <n v="27.769467619047621"/>
    <m/>
    <n v="2000"/>
    <m/>
    <n v="55538.93523809524"/>
    <s v=""/>
  </r>
  <r>
    <n v="131"/>
    <m/>
    <x v="12"/>
    <x v="46"/>
    <m/>
    <m/>
    <m/>
    <m/>
    <x v="0"/>
    <x v="9"/>
    <s v="Biofertilizantes"/>
    <n v="5.8"/>
    <m/>
    <n v="10000"/>
    <m/>
    <n v="58000"/>
    <s v=""/>
  </r>
  <r>
    <n v="132"/>
    <n v="10588"/>
    <x v="12"/>
    <x v="47"/>
    <s v="Zona_C"/>
    <s v="Rodolfo Cisneros"/>
    <s v="San Lorenzo A [Persa]"/>
    <m/>
    <x v="1"/>
    <x v="9"/>
    <s v="Biofertilizantes"/>
    <m/>
    <n v="7"/>
    <m/>
    <n v="10100"/>
    <s v=""/>
    <n v="70700"/>
  </r>
  <r>
    <n v="133"/>
    <m/>
    <x v="12"/>
    <x v="47"/>
    <m/>
    <m/>
    <m/>
    <m/>
    <x v="1"/>
    <x v="6"/>
    <s v="Apicultura"/>
    <m/>
    <n v="82.5"/>
    <m/>
    <n v="38"/>
    <s v=""/>
    <n v="3135"/>
  </r>
  <r>
    <n v="134"/>
    <n v="623"/>
    <x v="12"/>
    <x v="48"/>
    <s v="Externo"/>
    <s v="Veracruz"/>
    <s v="Veracruz"/>
    <s v="VENTA"/>
    <x v="1"/>
    <x v="0"/>
    <s v="Biofertilizantes"/>
    <m/>
    <n v="80"/>
    <m/>
    <n v="2000"/>
    <s v=""/>
    <n v="160000"/>
  </r>
  <r>
    <n v="135"/>
    <m/>
    <x v="12"/>
    <x v="49"/>
    <m/>
    <m/>
    <m/>
    <m/>
    <x v="0"/>
    <x v="3"/>
    <s v="Control Biologico"/>
    <n v="17000"/>
    <m/>
    <n v="1.6870000000000001"/>
    <m/>
    <n v="28679"/>
    <s v=""/>
  </r>
  <r>
    <n v="136"/>
    <m/>
    <x v="12"/>
    <x v="49"/>
    <s v="Control_Biologico"/>
    <s v="Luis Naranjo"/>
    <s v="Siembra"/>
    <m/>
    <x v="1"/>
    <x v="3"/>
    <s v="Control Biologico"/>
    <m/>
    <m/>
    <m/>
    <n v="0.11"/>
    <s v=""/>
    <s v=""/>
  </r>
  <r>
    <n v="137"/>
    <m/>
    <x v="12"/>
    <x v="49"/>
    <m/>
    <m/>
    <m/>
    <m/>
    <x v="1"/>
    <x v="3"/>
    <s v="Control Biologico"/>
    <m/>
    <n v="25000"/>
    <m/>
    <n v="1.165"/>
    <s v=""/>
    <n v="29125"/>
  </r>
  <r>
    <n v="138"/>
    <m/>
    <x v="12"/>
    <x v="49"/>
    <s v="Externo"/>
    <s v="Agriorg Bananera"/>
    <s v="Agriorg Bananera"/>
    <m/>
    <x v="1"/>
    <x v="3"/>
    <s v="Control Biologico"/>
    <m/>
    <n v="42000"/>
    <m/>
    <n v="0.25"/>
    <s v=""/>
    <n v="10500"/>
  </r>
  <r>
    <n v="139"/>
    <s v="f10592,f10593,f10594,f10595"/>
    <x v="12"/>
    <x v="49"/>
    <m/>
    <m/>
    <m/>
    <m/>
    <x v="1"/>
    <x v="7"/>
    <s v="Biofertilizantes"/>
    <m/>
    <n v="2"/>
    <m/>
    <n v="44090"/>
    <s v=""/>
    <n v="88180"/>
  </r>
  <r>
    <n v="140"/>
    <m/>
    <x v="12"/>
    <x v="49"/>
    <m/>
    <m/>
    <m/>
    <m/>
    <x v="0"/>
    <x v="1"/>
    <s v="Biofertilizantes"/>
    <n v="0.75"/>
    <m/>
    <n v="14000"/>
    <m/>
    <n v="10500"/>
    <s v=""/>
  </r>
  <r>
    <n v="141"/>
    <n v="10599"/>
    <x v="12"/>
    <x v="49"/>
    <s v="MultiRoot_P"/>
    <s v="Esteban Gtz"/>
    <s v="Biofertilizantes"/>
    <m/>
    <x v="1"/>
    <x v="1"/>
    <s v="Biofertilizantes"/>
    <m/>
    <m/>
    <m/>
    <n v="2250"/>
    <s v=""/>
    <s v=""/>
  </r>
  <r>
    <n v="142"/>
    <s v="F10589"/>
    <x v="12"/>
    <x v="49"/>
    <s v="Zona_A"/>
    <s v="Roberto Padilla"/>
    <s v="Polvorin 1 [Mx]"/>
    <m/>
    <x v="1"/>
    <x v="1"/>
    <s v="Biofertilizantes"/>
    <m/>
    <n v="1.2"/>
    <m/>
    <n v="8000"/>
    <s v=""/>
    <n v="9600"/>
  </r>
  <r>
    <n v="143"/>
    <n v="10590"/>
    <x v="12"/>
    <x v="50"/>
    <s v="Zona_B"/>
    <s v="Alejandro Núñez"/>
    <s v="San Jorge [Persa]"/>
    <m/>
    <x v="1"/>
    <x v="9"/>
    <s v="Biofertilizantes"/>
    <m/>
    <n v="7"/>
    <m/>
    <n v="8000"/>
    <s v=""/>
    <n v="56000"/>
  </r>
  <r>
    <n v="144"/>
    <m/>
    <x v="12"/>
    <x v="51"/>
    <s v="Almacen"/>
    <s v="Marco Bentancourt"/>
    <s v="Marco Bentancourt"/>
    <m/>
    <x v="1"/>
    <x v="5"/>
    <s v="Biorepelentes"/>
    <m/>
    <n v="240"/>
    <m/>
    <n v="400"/>
    <s v=""/>
    <n v="96000"/>
  </r>
  <r>
    <n v="145"/>
    <m/>
    <x v="13"/>
    <x v="52"/>
    <m/>
    <m/>
    <m/>
    <m/>
    <x v="0"/>
    <x v="0"/>
    <s v="Biofertilizantes"/>
    <n v="27.769467619047621"/>
    <m/>
    <n v="2000"/>
    <m/>
    <n v="55538.93523809524"/>
    <s v=""/>
  </r>
  <r>
    <n v="146"/>
    <m/>
    <x v="13"/>
    <x v="52"/>
    <m/>
    <m/>
    <m/>
    <m/>
    <x v="0"/>
    <x v="9"/>
    <s v="Biofertilizantes"/>
    <n v="5.8"/>
    <m/>
    <n v="26000"/>
    <m/>
    <n v="150800"/>
    <s v=""/>
  </r>
  <r>
    <n v="147"/>
    <n v="624"/>
    <x v="13"/>
    <x v="52"/>
    <s v="Almacen"/>
    <s v="Marco Bentancourt"/>
    <s v="Marco Bentancourt"/>
    <s v="OC-CS-0615"/>
    <x v="1"/>
    <x v="2"/>
    <s v="Biorepelentes"/>
    <m/>
    <n v="299"/>
    <m/>
    <n v="800"/>
    <s v=""/>
    <n v="239200"/>
  </r>
  <r>
    <n v="148"/>
    <n v="625"/>
    <x v="13"/>
    <x v="52"/>
    <s v="Almacen"/>
    <s v="Marco Bentancourt"/>
    <s v="Marco Bentancourt"/>
    <s v="OC-CS-0620"/>
    <x v="1"/>
    <x v="5"/>
    <s v="Biorepelentes"/>
    <m/>
    <n v="240"/>
    <m/>
    <n v="800"/>
    <s v=""/>
    <n v="192000"/>
  </r>
  <r>
    <n v="149"/>
    <m/>
    <x v="13"/>
    <x v="52"/>
    <m/>
    <m/>
    <m/>
    <m/>
    <x v="0"/>
    <x v="2"/>
    <s v="Biorepelentes"/>
    <n v="247.18544827008316"/>
    <m/>
    <n v="800"/>
    <m/>
    <n v="197748.35861606651"/>
    <s v=""/>
  </r>
  <r>
    <n v="150"/>
    <n v="11961"/>
    <x v="13"/>
    <x v="53"/>
    <s v="Zona_F"/>
    <s v="Noé Rosales"/>
    <s v="Verano 2 [Persa]"/>
    <m/>
    <x v="1"/>
    <x v="9"/>
    <s v="Biofertilizantes"/>
    <m/>
    <n v="7"/>
    <m/>
    <n v="10000"/>
    <s v=""/>
    <n v="70000"/>
  </r>
  <r>
    <n v="151"/>
    <n v="626"/>
    <x v="13"/>
    <x v="54"/>
    <s v="Almacen"/>
    <s v="Marco Bentancourt"/>
    <s v="Marco Bentancourt"/>
    <s v="OC-CS-0619"/>
    <x v="1"/>
    <x v="0"/>
    <s v="Biofertilizantes"/>
    <m/>
    <n v="40"/>
    <m/>
    <n v="800"/>
    <s v=""/>
    <n v="32000"/>
  </r>
  <r>
    <n v="152"/>
    <m/>
    <x v="13"/>
    <x v="55"/>
    <m/>
    <m/>
    <m/>
    <m/>
    <x v="0"/>
    <x v="3"/>
    <s v="Control Biologico"/>
    <n v="17000"/>
    <m/>
    <n v="1.53"/>
    <m/>
    <n v="26010"/>
    <s v=""/>
  </r>
  <r>
    <n v="153"/>
    <m/>
    <x v="13"/>
    <x v="55"/>
    <m/>
    <m/>
    <m/>
    <m/>
    <x v="1"/>
    <x v="3"/>
    <s v="Control Biologico"/>
    <m/>
    <n v="25000"/>
    <m/>
    <n v="0.875"/>
    <s v=""/>
    <n v="21875"/>
  </r>
  <r>
    <n v="154"/>
    <n v="10596"/>
    <x v="14"/>
    <x v="56"/>
    <s v="Zona_B"/>
    <s v="Alejandro Núñez"/>
    <s v="Leo 1 B [Persa]"/>
    <m/>
    <x v="1"/>
    <x v="9"/>
    <s v="Biofertilizantes"/>
    <m/>
    <n v="7"/>
    <m/>
    <n v="10000"/>
    <s v=""/>
    <n v="70000"/>
  </r>
  <r>
    <n v="155"/>
    <m/>
    <x v="14"/>
    <x v="56"/>
    <m/>
    <m/>
    <m/>
    <m/>
    <x v="0"/>
    <x v="2"/>
    <s v="Biorepelentes"/>
    <n v="247.18544827008316"/>
    <m/>
    <n v="200"/>
    <m/>
    <n v="49437.089654016629"/>
    <s v=""/>
  </r>
  <r>
    <n v="156"/>
    <m/>
    <x v="14"/>
    <x v="56"/>
    <m/>
    <m/>
    <m/>
    <m/>
    <x v="0"/>
    <x v="5"/>
    <s v="Biorepelentes"/>
    <n v="199.92359142534642"/>
    <m/>
    <n v="400"/>
    <m/>
    <n v="79969.436570138569"/>
    <s v=""/>
  </r>
  <r>
    <n v="157"/>
    <m/>
    <x v="14"/>
    <x v="57"/>
    <m/>
    <m/>
    <m/>
    <m/>
    <x v="0"/>
    <x v="1"/>
    <s v="Biofertilizantes"/>
    <n v="0.75"/>
    <m/>
    <n v="14000"/>
    <m/>
    <n v="10500"/>
    <s v=""/>
  </r>
  <r>
    <n v="158"/>
    <n v="627"/>
    <x v="14"/>
    <x v="58"/>
    <s v="Almacen"/>
    <s v="Marco Bentancourt"/>
    <s v="Marco Bentancourt"/>
    <s v="OC-CS-0643"/>
    <x v="1"/>
    <x v="2"/>
    <s v="Biorepelentes"/>
    <m/>
    <n v="299"/>
    <m/>
    <n v="1000"/>
    <s v=""/>
    <n v="299000"/>
  </r>
  <r>
    <n v="159"/>
    <m/>
    <x v="14"/>
    <x v="59"/>
    <m/>
    <m/>
    <m/>
    <m/>
    <x v="0"/>
    <x v="3"/>
    <s v="Control Biologico"/>
    <n v="17000"/>
    <m/>
    <n v="1.6180000000000001"/>
    <m/>
    <n v="27506"/>
    <s v=""/>
  </r>
  <r>
    <n v="160"/>
    <m/>
    <x v="14"/>
    <x v="59"/>
    <s v="Control_Biologico"/>
    <s v="Luis Naranjo"/>
    <s v="Siembra"/>
    <m/>
    <x v="1"/>
    <x v="3"/>
    <s v="Control Biologico"/>
    <m/>
    <m/>
    <m/>
    <n v="0.11"/>
    <s v=""/>
    <s v=""/>
  </r>
  <r>
    <n v="161"/>
    <m/>
    <x v="14"/>
    <x v="59"/>
    <m/>
    <m/>
    <m/>
    <m/>
    <x v="1"/>
    <x v="3"/>
    <s v="Control Biologico"/>
    <m/>
    <n v="25000"/>
    <m/>
    <n v="1.0049999999999999"/>
    <s v=""/>
    <n v="25124.999999999996"/>
  </r>
  <r>
    <n v="162"/>
    <m/>
    <x v="14"/>
    <x v="59"/>
    <s v="Externo"/>
    <s v="Banamares S.P.R."/>
    <s v="Banamares S.P.R."/>
    <m/>
    <x v="1"/>
    <x v="3"/>
    <s v="Control Biologico"/>
    <m/>
    <n v="42000"/>
    <m/>
    <n v="0.25"/>
    <s v=""/>
    <n v="10500"/>
  </r>
  <r>
    <n v="163"/>
    <m/>
    <x v="14"/>
    <x v="59"/>
    <m/>
    <m/>
    <m/>
    <m/>
    <x v="0"/>
    <x v="9"/>
    <s v="Biofertilizantes"/>
    <n v="5.8"/>
    <m/>
    <n v="15000"/>
    <m/>
    <n v="87000"/>
    <s v=""/>
  </r>
  <r>
    <n v="164"/>
    <m/>
    <x v="15"/>
    <x v="60"/>
    <m/>
    <m/>
    <m/>
    <m/>
    <x v="0"/>
    <x v="2"/>
    <s v="Biorepelentes"/>
    <n v="247.18544827008316"/>
    <m/>
    <n v="600"/>
    <m/>
    <n v="148311.26896204989"/>
    <s v=""/>
  </r>
  <r>
    <n v="165"/>
    <n v="12205"/>
    <x v="15"/>
    <x v="61"/>
    <s v="Zona_D"/>
    <s v="Jorge Sánchez"/>
    <s v="San Miguel Ojo de Agua 3 [Persa]"/>
    <m/>
    <x v="1"/>
    <x v="9"/>
    <s v="Biofertilizantes"/>
    <m/>
    <n v="7"/>
    <m/>
    <n v="7000"/>
    <s v=""/>
    <n v="49000"/>
  </r>
  <r>
    <n v="166"/>
    <m/>
    <x v="15"/>
    <x v="62"/>
    <m/>
    <m/>
    <m/>
    <m/>
    <x v="1"/>
    <x v="6"/>
    <s v="Apicultura"/>
    <m/>
    <m/>
    <m/>
    <n v="1"/>
    <s v=""/>
    <s v=""/>
  </r>
  <r>
    <n v="167"/>
    <m/>
    <x v="15"/>
    <x v="62"/>
    <m/>
    <m/>
    <m/>
    <m/>
    <x v="1"/>
    <x v="6"/>
    <s v="Apicultura"/>
    <m/>
    <n v="82.5"/>
    <m/>
    <n v="40"/>
    <s v=""/>
    <n v="3300"/>
  </r>
  <r>
    <n v="168"/>
    <m/>
    <x v="15"/>
    <x v="63"/>
    <m/>
    <m/>
    <m/>
    <m/>
    <x v="0"/>
    <x v="3"/>
    <s v="Control Biologico"/>
    <n v="17000"/>
    <m/>
    <n v="1.4650000000000001"/>
    <m/>
    <n v="24905"/>
    <s v=""/>
  </r>
  <r>
    <n v="169"/>
    <m/>
    <x v="15"/>
    <x v="63"/>
    <m/>
    <m/>
    <m/>
    <m/>
    <x v="1"/>
    <x v="3"/>
    <s v="Control Biologico"/>
    <m/>
    <n v="25000"/>
    <m/>
    <n v="0.66500000000000004"/>
    <s v=""/>
    <n v="16625"/>
  </r>
  <r>
    <n v="170"/>
    <m/>
    <x v="15"/>
    <x v="63"/>
    <s v="Externo"/>
    <s v="Agriorg Bananera"/>
    <s v="Agriorg Bananera"/>
    <m/>
    <x v="1"/>
    <x v="3"/>
    <s v="Control Biologico"/>
    <m/>
    <n v="42000"/>
    <m/>
    <n v="0.25"/>
    <s v=""/>
    <n v="10500"/>
  </r>
  <r>
    <n v="171"/>
    <m/>
    <x v="15"/>
    <x v="63"/>
    <m/>
    <m/>
    <m/>
    <m/>
    <x v="0"/>
    <x v="9"/>
    <s v="Biofertilizantes"/>
    <n v="5.8"/>
    <m/>
    <n v="6000"/>
    <m/>
    <n v="34800"/>
    <s v=""/>
  </r>
  <r>
    <n v="172"/>
    <n v="12208"/>
    <x v="16"/>
    <x v="64"/>
    <s v="Zona_F"/>
    <s v="Noé Rosales"/>
    <s v="Verano 2 [Persa]"/>
    <m/>
    <x v="1"/>
    <x v="9"/>
    <s v="Biofertilizantes"/>
    <m/>
    <n v="7"/>
    <m/>
    <n v="10000"/>
    <s v=""/>
    <n v="70000"/>
  </r>
  <r>
    <n v="173"/>
    <m/>
    <x v="16"/>
    <x v="64"/>
    <m/>
    <m/>
    <m/>
    <m/>
    <x v="0"/>
    <x v="2"/>
    <s v="Biorepelentes"/>
    <n v="247.18544827008316"/>
    <m/>
    <n v="200"/>
    <m/>
    <n v="49437.089654016629"/>
    <s v=""/>
  </r>
  <r>
    <n v="174"/>
    <m/>
    <x v="16"/>
    <x v="64"/>
    <m/>
    <m/>
    <m/>
    <m/>
    <x v="0"/>
    <x v="5"/>
    <s v="Biorepelentes"/>
    <n v="199.92359142534642"/>
    <m/>
    <n v="400"/>
    <m/>
    <n v="79969.436570138569"/>
    <s v=""/>
  </r>
  <r>
    <n v="175"/>
    <n v="11989"/>
    <x v="16"/>
    <x v="65"/>
    <s v="Zona_C"/>
    <s v="Rodolfo Cisneros"/>
    <s v="Tarecua [Persa]"/>
    <m/>
    <x v="1"/>
    <x v="9"/>
    <s v="Biofertilizantes"/>
    <m/>
    <n v="7"/>
    <m/>
    <n v="4500"/>
    <s v=""/>
    <n v="31500"/>
  </r>
  <r>
    <n v="176"/>
    <m/>
    <x v="16"/>
    <x v="65"/>
    <m/>
    <m/>
    <m/>
    <m/>
    <x v="0"/>
    <x v="1"/>
    <s v="Biofertilizantes"/>
    <n v="0.75"/>
    <m/>
    <n v="14000"/>
    <m/>
    <n v="10500"/>
    <s v=""/>
  </r>
  <r>
    <n v="177"/>
    <n v="628"/>
    <x v="16"/>
    <x v="66"/>
    <s v="Almacen"/>
    <s v="Marco Bentancourt"/>
    <s v="Marco Bentancourt"/>
    <s v="OC-CS-0667"/>
    <x v="1"/>
    <x v="5"/>
    <s v="Biorepelentes"/>
    <m/>
    <n v="240"/>
    <m/>
    <n v="400"/>
    <s v=""/>
    <n v="96000"/>
  </r>
  <r>
    <n v="178"/>
    <n v="12209"/>
    <x v="16"/>
    <x v="66"/>
    <s v="Zona_A"/>
    <s v="Roberto Padilla"/>
    <s v="Caminero [Mx]"/>
    <m/>
    <x v="1"/>
    <x v="1"/>
    <s v="Biofertilizantes"/>
    <m/>
    <n v="1.2"/>
    <m/>
    <n v="10000"/>
    <s v=""/>
    <n v="12000"/>
  </r>
  <r>
    <n v="179"/>
    <n v="12211"/>
    <x v="16"/>
    <x v="67"/>
    <s v="Zona_D"/>
    <s v="Jorge Sánchez"/>
    <s v="San Miguel Ojo de Agua 3 [Persa]"/>
    <m/>
    <x v="1"/>
    <x v="9"/>
    <s v="Biofertilizantes"/>
    <m/>
    <n v="7"/>
    <m/>
    <n v="6000"/>
    <s v=""/>
    <n v="42000"/>
  </r>
  <r>
    <n v="180"/>
    <m/>
    <x v="16"/>
    <x v="67"/>
    <m/>
    <m/>
    <m/>
    <m/>
    <x v="0"/>
    <x v="6"/>
    <s v="Apicultura"/>
    <n v="287.6268905420971"/>
    <m/>
    <n v="304.61599999999993"/>
    <m/>
    <n v="87615.752889371433"/>
    <s v=""/>
  </r>
  <r>
    <n v="181"/>
    <m/>
    <x v="16"/>
    <x v="68"/>
    <m/>
    <m/>
    <m/>
    <m/>
    <x v="0"/>
    <x v="3"/>
    <s v="Control Biologico"/>
    <n v="17000"/>
    <m/>
    <n v="1.4690000000000001"/>
    <m/>
    <n v="24973"/>
    <s v=""/>
  </r>
  <r>
    <n v="182"/>
    <m/>
    <x v="16"/>
    <x v="68"/>
    <s v="Control_Biologico"/>
    <s v="Luis Naranjo"/>
    <s v="Siembra"/>
    <m/>
    <x v="1"/>
    <x v="3"/>
    <s v="Control Biologico"/>
    <m/>
    <m/>
    <m/>
    <n v="0.11"/>
    <s v=""/>
    <s v=""/>
  </r>
  <r>
    <n v="183"/>
    <m/>
    <x v="16"/>
    <x v="68"/>
    <m/>
    <m/>
    <m/>
    <m/>
    <x v="1"/>
    <x v="3"/>
    <s v="Control Biologico"/>
    <m/>
    <n v="25000"/>
    <m/>
    <n v="1.08"/>
    <s v=""/>
    <n v="27000"/>
  </r>
  <r>
    <n v="184"/>
    <m/>
    <x v="16"/>
    <x v="68"/>
    <s v="Externo"/>
    <s v="Banamares S.P.R."/>
    <s v="Banamares S.P.R."/>
    <m/>
    <x v="1"/>
    <x v="3"/>
    <s v="Control Biologico"/>
    <m/>
    <n v="42000"/>
    <m/>
    <n v="0.25"/>
    <s v=""/>
    <n v="10500"/>
  </r>
  <r>
    <n v="185"/>
    <m/>
    <x v="16"/>
    <x v="68"/>
    <m/>
    <m/>
    <m/>
    <m/>
    <x v="0"/>
    <x v="9"/>
    <s v="Biofertilizantes"/>
    <n v="5.8"/>
    <m/>
    <n v="14000"/>
    <m/>
    <n v="81200"/>
    <s v=""/>
  </r>
  <r>
    <n v="186"/>
    <n v="10600"/>
    <x v="16"/>
    <x v="68"/>
    <s v="MultiRoot_P"/>
    <s v="Esteban Gtz"/>
    <s v="Biofertilizantes"/>
    <m/>
    <x v="1"/>
    <x v="1"/>
    <s v="Biofertilizantes"/>
    <m/>
    <m/>
    <m/>
    <n v="750"/>
    <s v=""/>
    <s v=""/>
  </r>
  <r>
    <n v="187"/>
    <n v="629"/>
    <x v="17"/>
    <x v="69"/>
    <s v="Almacen"/>
    <s v="Marco Bentancourt"/>
    <s v="Marco Bentancourt"/>
    <s v="OC-CS-0680"/>
    <x v="1"/>
    <x v="0"/>
    <s v="Biofertilizantes"/>
    <m/>
    <n v="40"/>
    <m/>
    <n v="1000"/>
    <s v=""/>
    <n v="40000"/>
  </r>
  <r>
    <n v="188"/>
    <n v="11966"/>
    <x v="17"/>
    <x v="69"/>
    <s v="Zona_B"/>
    <s v="Alejandro Núñez"/>
    <s v="Leo 1 B [Persa]"/>
    <m/>
    <x v="1"/>
    <x v="9"/>
    <s v="Biofertilizantes"/>
    <m/>
    <n v="7"/>
    <m/>
    <n v="4000"/>
    <s v=""/>
    <n v="28000"/>
  </r>
  <r>
    <n v="189"/>
    <m/>
    <x v="17"/>
    <x v="70"/>
    <m/>
    <m/>
    <m/>
    <m/>
    <x v="0"/>
    <x v="6"/>
    <s v="Apicultura"/>
    <n v="287.6268905420971"/>
    <m/>
    <n v="107.193"/>
    <m/>
    <n v="30831.589277879015"/>
    <s v=""/>
  </r>
  <r>
    <n v="190"/>
    <m/>
    <x v="17"/>
    <x v="70"/>
    <m/>
    <m/>
    <m/>
    <m/>
    <x v="1"/>
    <x v="6"/>
    <s v="Apicultura"/>
    <m/>
    <n v="82.5"/>
    <m/>
    <n v="3"/>
    <s v=""/>
    <n v="247.5"/>
  </r>
  <r>
    <n v="191"/>
    <s v="f11967,f11968,f11992,f11993,f11994,f11995"/>
    <x v="17"/>
    <x v="70"/>
    <m/>
    <m/>
    <m/>
    <m/>
    <x v="1"/>
    <x v="7"/>
    <s v="Biofertilizantes"/>
    <m/>
    <n v="2"/>
    <m/>
    <n v="64090"/>
    <s v=""/>
    <n v="128180"/>
  </r>
  <r>
    <n v="192"/>
    <n v="11975"/>
    <x v="17"/>
    <x v="70"/>
    <s v="Zona_A"/>
    <s v="Roberto Padilla"/>
    <s v="Cura [Mx]"/>
    <m/>
    <x v="1"/>
    <x v="1"/>
    <s v="Biofertilizantes"/>
    <m/>
    <n v="1.2"/>
    <m/>
    <n v="10000"/>
    <s v=""/>
    <n v="12000"/>
  </r>
  <r>
    <n v="193"/>
    <n v="630"/>
    <x v="17"/>
    <x v="71"/>
    <s v="Almacen"/>
    <s v="Marco Bentancourt"/>
    <s v="Marco Bentancourt"/>
    <s v="OC-CS-0669"/>
    <x v="1"/>
    <x v="2"/>
    <s v="Biorepelentes"/>
    <m/>
    <n v="299"/>
    <m/>
    <n v="400"/>
    <s v=""/>
    <n v="119600"/>
  </r>
  <r>
    <n v="194"/>
    <m/>
    <x v="17"/>
    <x v="72"/>
    <m/>
    <m/>
    <m/>
    <m/>
    <x v="0"/>
    <x v="3"/>
    <s v="Control Biologico"/>
    <n v="17000"/>
    <m/>
    <n v="1.35"/>
    <m/>
    <n v="22950"/>
    <s v=""/>
  </r>
  <r>
    <n v="195"/>
    <m/>
    <x v="17"/>
    <x v="72"/>
    <m/>
    <m/>
    <m/>
    <m/>
    <x v="1"/>
    <x v="3"/>
    <s v="Control Biologico"/>
    <m/>
    <n v="25000"/>
    <m/>
    <n v="1.885"/>
    <s v=""/>
    <n v="47125"/>
  </r>
  <r>
    <n v="196"/>
    <m/>
    <x v="17"/>
    <x v="72"/>
    <s v="Externo"/>
    <s v="Agriorg Bananera"/>
    <s v="Agriorg Bananera"/>
    <m/>
    <x v="1"/>
    <x v="3"/>
    <s v="Control Biologico"/>
    <m/>
    <n v="42000"/>
    <m/>
    <n v="0.25"/>
    <s v=""/>
    <n v="10500"/>
  </r>
  <r>
    <n v="197"/>
    <m/>
    <x v="18"/>
    <x v="73"/>
    <m/>
    <m/>
    <m/>
    <m/>
    <x v="0"/>
    <x v="0"/>
    <s v="Biofertilizantes"/>
    <n v="27.769467619047621"/>
    <m/>
    <n v="1000"/>
    <m/>
    <n v="27769.46761904762"/>
    <s v=""/>
  </r>
  <r>
    <n v="198"/>
    <m/>
    <x v="18"/>
    <x v="73"/>
    <m/>
    <m/>
    <m/>
    <m/>
    <x v="0"/>
    <x v="1"/>
    <s v="Biofertilizantes"/>
    <n v="0.75"/>
    <m/>
    <n v="20000"/>
    <m/>
    <n v="15000"/>
    <s v=""/>
  </r>
  <r>
    <n v="199"/>
    <n v="11991"/>
    <x v="18"/>
    <x v="73"/>
    <s v="MultiRoot_P"/>
    <s v="Esteban Gtz"/>
    <s v="Biofertilizantes"/>
    <m/>
    <x v="1"/>
    <x v="1"/>
    <s v="Biofertilizantes"/>
    <m/>
    <m/>
    <m/>
    <n v="750"/>
    <s v=""/>
    <s v=""/>
  </r>
  <r>
    <n v="200"/>
    <n v="10597"/>
    <x v="18"/>
    <x v="73"/>
    <s v="Zona_A"/>
    <s v="Roberto Padilla"/>
    <s v="Lindero [Mx]"/>
    <m/>
    <x v="1"/>
    <x v="1"/>
    <s v="Biofertilizantes"/>
    <m/>
    <n v="1.2"/>
    <m/>
    <n v="10000"/>
    <s v=""/>
    <n v="12000"/>
  </r>
  <r>
    <n v="201"/>
    <m/>
    <x v="18"/>
    <x v="74"/>
    <m/>
    <m/>
    <m/>
    <m/>
    <x v="0"/>
    <x v="2"/>
    <s v="Biorepelentes"/>
    <n v="247.18544827008316"/>
    <m/>
    <n v="200"/>
    <m/>
    <n v="49437.089654016629"/>
    <s v=""/>
  </r>
  <r>
    <n v="202"/>
    <m/>
    <x v="18"/>
    <x v="74"/>
    <m/>
    <m/>
    <m/>
    <m/>
    <x v="0"/>
    <x v="0"/>
    <s v="Biofertilizantes"/>
    <n v="27.769467619047621"/>
    <m/>
    <n v="1000"/>
    <m/>
    <n v="27769.46761904762"/>
    <s v=""/>
  </r>
  <r>
    <n v="203"/>
    <n v="631"/>
    <x v="18"/>
    <x v="75"/>
    <s v="Almacen"/>
    <s v="Marco Bentancourt"/>
    <s v="Marco Bentancourt"/>
    <s v="OC-CS-0685"/>
    <x v="1"/>
    <x v="0"/>
    <s v="Biofertilizantes"/>
    <m/>
    <n v="40"/>
    <m/>
    <n v="1000"/>
    <s v=""/>
    <n v="40000"/>
  </r>
  <r>
    <n v="204"/>
    <n v="632"/>
    <x v="18"/>
    <x v="76"/>
    <s v="Almacen"/>
    <s v="Marco Bentancourt"/>
    <s v="Marco Bentancourt"/>
    <s v="OC-CS-0683"/>
    <x v="1"/>
    <x v="2"/>
    <s v="Biorepelentes"/>
    <m/>
    <n v="299"/>
    <m/>
    <n v="400"/>
    <s v=""/>
    <n v="119600"/>
  </r>
  <r>
    <n v="205"/>
    <m/>
    <x v="18"/>
    <x v="76"/>
    <m/>
    <m/>
    <m/>
    <m/>
    <x v="0"/>
    <x v="9"/>
    <s v="Biofertilizantes"/>
    <n v="5.8"/>
    <m/>
    <n v="15000"/>
    <m/>
    <n v="87000"/>
    <s v=""/>
  </r>
  <r>
    <n v="206"/>
    <n v="11982"/>
    <x v="18"/>
    <x v="76"/>
    <s v="Zona_F"/>
    <s v="Noé Rosales"/>
    <s v="Verano 2 [Persa]"/>
    <m/>
    <x v="1"/>
    <x v="9"/>
    <s v="Biofertilizantes"/>
    <m/>
    <n v="7"/>
    <m/>
    <n v="5000"/>
    <s v=""/>
    <n v="35000"/>
  </r>
  <r>
    <n v="207"/>
    <m/>
    <x v="18"/>
    <x v="77"/>
    <m/>
    <m/>
    <m/>
    <m/>
    <x v="0"/>
    <x v="3"/>
    <s v="Control Biologico"/>
    <n v="17000"/>
    <m/>
    <n v="1.4239999999999999"/>
    <m/>
    <n v="24208"/>
    <s v=""/>
  </r>
  <r>
    <n v="208"/>
    <m/>
    <x v="18"/>
    <x v="77"/>
    <s v="Control_Biologico"/>
    <s v="Luis Naranjo"/>
    <s v="Siembra"/>
    <m/>
    <x v="1"/>
    <x v="3"/>
    <s v="Control Biologico"/>
    <m/>
    <m/>
    <m/>
    <n v="0.11"/>
    <s v=""/>
    <s v=""/>
  </r>
  <r>
    <n v="209"/>
    <m/>
    <x v="18"/>
    <x v="77"/>
    <s v="Externo"/>
    <s v="Banamares S.P.R."/>
    <s v="Banamares S.P.R."/>
    <m/>
    <x v="1"/>
    <x v="3"/>
    <s v="Control Biologico"/>
    <m/>
    <n v="42000"/>
    <m/>
    <n v="0.25"/>
    <s v=""/>
    <n v="10500"/>
  </r>
  <r>
    <n v="210"/>
    <m/>
    <x v="18"/>
    <x v="77"/>
    <m/>
    <m/>
    <m/>
    <m/>
    <x v="1"/>
    <x v="3"/>
    <s v="Control Biologico"/>
    <m/>
    <n v="25000"/>
    <m/>
    <n v="1.325"/>
    <s v=""/>
    <n v="33125"/>
  </r>
  <r>
    <n v="211"/>
    <n v="11997"/>
    <x v="18"/>
    <x v="77"/>
    <s v="Zona_C"/>
    <s v="Rodolfo Cisneros"/>
    <s v="Planta B A [Mx]"/>
    <m/>
    <x v="1"/>
    <x v="1"/>
    <s v="Biofertilizantes"/>
    <m/>
    <n v="1.2"/>
    <m/>
    <n v="6000"/>
    <s v=""/>
    <n v="7200"/>
  </r>
  <r>
    <n v="212"/>
    <m/>
    <x v="18"/>
    <x v="77"/>
    <m/>
    <m/>
    <m/>
    <m/>
    <x v="0"/>
    <x v="6"/>
    <s v="Apicultura"/>
    <n v="287.6268905420971"/>
    <m/>
    <n v="115.57"/>
    <m/>
    <n v="33241.03973995016"/>
    <s v=""/>
  </r>
  <r>
    <n v="213"/>
    <m/>
    <x v="18"/>
    <x v="77"/>
    <m/>
    <m/>
    <m/>
    <m/>
    <x v="1"/>
    <x v="6"/>
    <s v="Apicultura"/>
    <m/>
    <m/>
    <m/>
    <n v="1"/>
    <s v=""/>
    <s v=""/>
  </r>
  <r>
    <n v="214"/>
    <m/>
    <x v="18"/>
    <x v="77"/>
    <m/>
    <m/>
    <m/>
    <m/>
    <x v="1"/>
    <x v="6"/>
    <s v="Apicultura"/>
    <m/>
    <n v="82.5"/>
    <m/>
    <n v="30"/>
    <s v=""/>
    <n v="2475"/>
  </r>
  <r>
    <n v="215"/>
    <m/>
    <x v="19"/>
    <x v="78"/>
    <m/>
    <m/>
    <m/>
    <m/>
    <x v="0"/>
    <x v="1"/>
    <s v="Biofertilizantes"/>
    <n v="0.75"/>
    <m/>
    <n v="14000"/>
    <m/>
    <n v="10500"/>
    <s v=""/>
  </r>
  <r>
    <n v="216"/>
    <s v="F11983,F11984"/>
    <x v="19"/>
    <x v="79"/>
    <s v="Zona_E"/>
    <s v="Alberto Sánchez"/>
    <s v="Santa Amalia A [Persa]"/>
    <m/>
    <x v="1"/>
    <x v="1"/>
    <s v="Biofertilizantes"/>
    <m/>
    <n v="1.2"/>
    <m/>
    <n v="20000"/>
    <s v=""/>
    <n v="24000"/>
  </r>
  <r>
    <n v="217"/>
    <n v="633"/>
    <x v="19"/>
    <x v="80"/>
    <s v="Almacen"/>
    <s v="Marco Bentancourt"/>
    <s v="Marco Bentancourt"/>
    <s v="OC-CS-0705"/>
    <x v="1"/>
    <x v="5"/>
    <s v="Biorepelentes"/>
    <m/>
    <n v="240"/>
    <m/>
    <n v="400"/>
    <s v=""/>
    <n v="96000"/>
  </r>
  <r>
    <n v="218"/>
    <m/>
    <x v="19"/>
    <x v="81"/>
    <m/>
    <m/>
    <m/>
    <m/>
    <x v="1"/>
    <x v="6"/>
    <s v="Apicultura"/>
    <m/>
    <n v="82.5"/>
    <m/>
    <n v="50"/>
    <s v=""/>
    <n v="4125"/>
  </r>
  <r>
    <n v="219"/>
    <m/>
    <x v="19"/>
    <x v="82"/>
    <m/>
    <m/>
    <m/>
    <m/>
    <x v="0"/>
    <x v="7"/>
    <s v="Biofertilizantes"/>
    <n v="1.25"/>
    <m/>
    <n v="192000"/>
    <m/>
    <n v="240000"/>
    <s v=""/>
  </r>
  <r>
    <n v="220"/>
    <m/>
    <x v="19"/>
    <x v="82"/>
    <m/>
    <m/>
    <m/>
    <m/>
    <x v="0"/>
    <x v="3"/>
    <s v="Control Biologico"/>
    <n v="17000"/>
    <m/>
    <n v="1.2430000000000001"/>
    <m/>
    <n v="21131"/>
    <s v=""/>
  </r>
  <r>
    <n v="221"/>
    <m/>
    <x v="19"/>
    <x v="82"/>
    <m/>
    <m/>
    <m/>
    <m/>
    <x v="1"/>
    <x v="3"/>
    <s v="Control Biologico"/>
    <m/>
    <n v="25000"/>
    <m/>
    <n v="1.43"/>
    <s v=""/>
    <n v="35750"/>
  </r>
  <r>
    <n v="222"/>
    <m/>
    <x v="19"/>
    <x v="82"/>
    <s v="Externo"/>
    <s v="Agriorg Bananera"/>
    <s v="Agriorg Bananera"/>
    <m/>
    <x v="1"/>
    <x v="3"/>
    <s v="Control Biologico"/>
    <m/>
    <n v="42000"/>
    <m/>
    <n v="0.25"/>
    <s v=""/>
    <n v="10500"/>
  </r>
  <r>
    <n v="223"/>
    <m/>
    <x v="20"/>
    <x v="83"/>
    <m/>
    <m/>
    <m/>
    <m/>
    <x v="0"/>
    <x v="9"/>
    <s v="Biofertilizantes"/>
    <n v="5.8"/>
    <m/>
    <n v="8000"/>
    <m/>
    <n v="46400"/>
    <s v=""/>
  </r>
  <r>
    <n v="224"/>
    <s v="F11986, F11987"/>
    <x v="20"/>
    <x v="84"/>
    <s v="Zona_D"/>
    <s v="Jorge Sánchez"/>
    <s v="San Miguel Ojo de Agua 1 [Persa]"/>
    <m/>
    <x v="1"/>
    <x v="8"/>
    <s v="Biofertilizantes"/>
    <m/>
    <n v="3.5"/>
    <m/>
    <n v="8000"/>
    <s v=""/>
    <n v="28000"/>
  </r>
  <r>
    <n v="225"/>
    <n v="11985"/>
    <x v="20"/>
    <x v="84"/>
    <s v="Zona_E"/>
    <s v="Alberto Sánchez"/>
    <s v="Santa Amalia B [Persa]"/>
    <m/>
    <x v="1"/>
    <x v="9"/>
    <s v="Biofertilizantes"/>
    <m/>
    <n v="7"/>
    <m/>
    <n v="20000"/>
    <s v=""/>
    <n v="140000"/>
  </r>
  <r>
    <n v="226"/>
    <n v="11988"/>
    <x v="20"/>
    <x v="85"/>
    <s v="Zona_C"/>
    <s v="Rodolfo Cisneros"/>
    <s v="Kairo A [Mx]"/>
    <m/>
    <x v="1"/>
    <x v="1"/>
    <s v="Biofertilizantes"/>
    <m/>
    <n v="1.2"/>
    <m/>
    <n v="10000"/>
    <s v=""/>
    <n v="12000"/>
  </r>
  <r>
    <n v="227"/>
    <n v="634"/>
    <x v="20"/>
    <x v="85"/>
    <s v="Almacen"/>
    <s v="Marco Bentancourt"/>
    <s v="Marco Bentancourt"/>
    <s v="OC-CS-0709"/>
    <x v="1"/>
    <x v="2"/>
    <s v="Biorepelentes"/>
    <m/>
    <n v="299"/>
    <m/>
    <n v="200"/>
    <s v=""/>
    <n v="59800"/>
  </r>
  <r>
    <n v="228"/>
    <m/>
    <x v="20"/>
    <x v="85"/>
    <m/>
    <m/>
    <m/>
    <m/>
    <x v="1"/>
    <x v="6"/>
    <s v="Apicultura"/>
    <m/>
    <n v="82.5"/>
    <m/>
    <n v="30"/>
    <s v=""/>
    <n v="2475"/>
  </r>
  <r>
    <n v="229"/>
    <m/>
    <x v="20"/>
    <x v="86"/>
    <m/>
    <m/>
    <m/>
    <m/>
    <x v="0"/>
    <x v="9"/>
    <s v="Biofertilizantes"/>
    <n v="5.8"/>
    <m/>
    <n v="17000"/>
    <m/>
    <n v="98600"/>
    <s v=""/>
  </r>
  <r>
    <n v="230"/>
    <m/>
    <x v="20"/>
    <x v="87"/>
    <m/>
    <m/>
    <m/>
    <m/>
    <x v="0"/>
    <x v="8"/>
    <s v="Biofertilizantes"/>
    <n v="2.2000000000000002"/>
    <m/>
    <n v="54000"/>
    <m/>
    <n v="118800.00000000001"/>
    <s v=""/>
  </r>
  <r>
    <n v="231"/>
    <m/>
    <x v="20"/>
    <x v="87"/>
    <m/>
    <m/>
    <m/>
    <m/>
    <x v="0"/>
    <x v="3"/>
    <s v="Control Biologico"/>
    <n v="17000"/>
    <m/>
    <n v="1.2769999999999999"/>
    <m/>
    <n v="21709"/>
    <s v=""/>
  </r>
  <r>
    <n v="232"/>
    <m/>
    <x v="20"/>
    <x v="87"/>
    <s v="Control_Biologico"/>
    <s v="Luis Naranjo"/>
    <s v="Siembra"/>
    <m/>
    <x v="1"/>
    <x v="3"/>
    <s v="Control Biologico"/>
    <m/>
    <m/>
    <m/>
    <n v="0.11"/>
    <s v=""/>
    <s v=""/>
  </r>
  <r>
    <n v="233"/>
    <m/>
    <x v="20"/>
    <x v="87"/>
    <m/>
    <m/>
    <m/>
    <m/>
    <x v="1"/>
    <x v="3"/>
    <s v="Control Biologico"/>
    <m/>
    <n v="25000"/>
    <m/>
    <n v="1.2"/>
    <s v=""/>
    <n v="30000"/>
  </r>
  <r>
    <n v="234"/>
    <m/>
    <x v="20"/>
    <x v="87"/>
    <m/>
    <m/>
    <m/>
    <m/>
    <x v="1"/>
    <x v="3"/>
    <s v="Control Biologico"/>
    <m/>
    <n v="25000"/>
    <m/>
    <n v="0.03"/>
    <s v=""/>
    <n v="750"/>
  </r>
  <r>
    <n v="235"/>
    <m/>
    <x v="20"/>
    <x v="87"/>
    <s v="Externo"/>
    <s v="Banamares S.P.R."/>
    <s v="Banamares S.P.R."/>
    <m/>
    <x v="1"/>
    <x v="3"/>
    <s v="Control Biologico"/>
    <m/>
    <n v="42000"/>
    <m/>
    <n v="0.25"/>
    <s v=""/>
    <n v="10500"/>
  </r>
  <r>
    <n v="236"/>
    <m/>
    <x v="21"/>
    <x v="88"/>
    <m/>
    <m/>
    <m/>
    <m/>
    <x v="0"/>
    <x v="4"/>
    <s v="Biorepelentes"/>
    <n v="16.194248333333334"/>
    <m/>
    <n v="940"/>
    <m/>
    <n v="15222.593433333333"/>
    <s v=""/>
  </r>
  <r>
    <n v="237"/>
    <s v="F-11996"/>
    <x v="21"/>
    <x v="88"/>
    <s v="Zona_E"/>
    <s v="Alberto Sánchez"/>
    <s v="Tepames 1 A [Ita]"/>
    <m/>
    <x v="1"/>
    <x v="9"/>
    <s v="Biofertilizantes"/>
    <m/>
    <n v="7"/>
    <m/>
    <n v="15000"/>
    <s v=""/>
    <n v="105000"/>
  </r>
  <r>
    <n v="238"/>
    <m/>
    <x v="21"/>
    <x v="89"/>
    <m/>
    <m/>
    <m/>
    <m/>
    <x v="0"/>
    <x v="2"/>
    <s v="Biorepelentes"/>
    <n v="247.18544827008316"/>
    <m/>
    <n v="400"/>
    <m/>
    <n v="98874.179308033257"/>
    <s v=""/>
  </r>
  <r>
    <n v="239"/>
    <n v="635"/>
    <x v="21"/>
    <x v="89"/>
    <s v="Almacen"/>
    <s v="Marco Bentancourt"/>
    <s v="Marco Bentancourt"/>
    <s v="OC-CS-0712"/>
    <x v="1"/>
    <x v="0"/>
    <s v="Biofertilizantes"/>
    <m/>
    <n v="40"/>
    <m/>
    <n v="1000"/>
    <s v=""/>
    <n v="40000"/>
  </r>
  <r>
    <n v="240"/>
    <m/>
    <x v="21"/>
    <x v="89"/>
    <m/>
    <m/>
    <m/>
    <m/>
    <x v="1"/>
    <x v="6"/>
    <s v="Apicultura"/>
    <m/>
    <m/>
    <m/>
    <n v="3"/>
    <s v=""/>
    <s v=""/>
  </r>
  <r>
    <n v="241"/>
    <m/>
    <x v="21"/>
    <x v="90"/>
    <m/>
    <m/>
    <m/>
    <m/>
    <x v="0"/>
    <x v="2"/>
    <s v="Biorepelentes"/>
    <n v="247.18544827008316"/>
    <m/>
    <n v="400"/>
    <m/>
    <n v="98874.179308033257"/>
    <s v=""/>
  </r>
  <r>
    <n v="242"/>
    <n v="636"/>
    <x v="21"/>
    <x v="90"/>
    <s v="Almacen"/>
    <s v="Marco Bentancourt"/>
    <s v="Marco Bentancourt"/>
    <s v="OC-CS-0722"/>
    <x v="1"/>
    <x v="2"/>
    <s v="Biorepelentes"/>
    <m/>
    <n v="299"/>
    <m/>
    <n v="600"/>
    <s v=""/>
    <n v="179400"/>
  </r>
  <r>
    <n v="243"/>
    <m/>
    <x v="21"/>
    <x v="90"/>
    <m/>
    <m/>
    <m/>
    <m/>
    <x v="0"/>
    <x v="9"/>
    <s v="Biofertilizantes"/>
    <n v="5.8"/>
    <m/>
    <n v="6000"/>
    <m/>
    <n v="34800"/>
    <s v=""/>
  </r>
  <r>
    <n v="244"/>
    <m/>
    <x v="21"/>
    <x v="91"/>
    <m/>
    <m/>
    <m/>
    <m/>
    <x v="0"/>
    <x v="2"/>
    <s v="Biorepelentes"/>
    <n v="247.18544827008316"/>
    <m/>
    <n v="400"/>
    <m/>
    <n v="98874.179308033257"/>
    <s v=""/>
  </r>
  <r>
    <n v="245"/>
    <m/>
    <x v="21"/>
    <x v="92"/>
    <m/>
    <m/>
    <m/>
    <m/>
    <x v="1"/>
    <x v="3"/>
    <s v="Control Biologico"/>
    <m/>
    <n v="25000"/>
    <m/>
    <n v="0.90500000000000003"/>
    <s v=""/>
    <n v="22625"/>
  </r>
  <r>
    <n v="246"/>
    <m/>
    <x v="21"/>
    <x v="92"/>
    <s v="Externo"/>
    <s v="Agriorg Bananera"/>
    <s v="Agriorg Bananera"/>
    <m/>
    <x v="1"/>
    <x v="3"/>
    <s v="Control Biologico"/>
    <m/>
    <n v="42000"/>
    <m/>
    <n v="0.25"/>
    <s v=""/>
    <n v="10500"/>
  </r>
  <r>
    <n v="247"/>
    <s v="F-15657"/>
    <x v="21"/>
    <x v="92"/>
    <s v="Zona_C"/>
    <s v="Rodolfo Cisneros"/>
    <s v="San Lorenzo A [Persa]"/>
    <m/>
    <x v="1"/>
    <x v="1"/>
    <s v="Biofertilizantes"/>
    <m/>
    <n v="1.2"/>
    <m/>
    <n v="10000"/>
    <s v=""/>
    <n v="12000"/>
  </r>
  <r>
    <n v="248"/>
    <m/>
    <x v="21"/>
    <x v="92"/>
    <m/>
    <m/>
    <m/>
    <m/>
    <x v="0"/>
    <x v="2"/>
    <s v="Biorepelentes"/>
    <n v="247.18544827008316"/>
    <m/>
    <n v="200"/>
    <m/>
    <n v="49437.089654016629"/>
    <s v=""/>
  </r>
  <r>
    <n v="249"/>
    <m/>
    <x v="21"/>
    <x v="93"/>
    <m/>
    <m/>
    <m/>
    <m/>
    <x v="0"/>
    <x v="3"/>
    <s v="Control Biologico"/>
    <n v="17000"/>
    <m/>
    <n v="0.86499999999999999"/>
    <m/>
    <n v="14705"/>
    <s v=""/>
  </r>
  <r>
    <n v="250"/>
    <m/>
    <x v="22"/>
    <x v="94"/>
    <m/>
    <m/>
    <m/>
    <m/>
    <x v="0"/>
    <x v="0"/>
    <s v="Biofertilizantes"/>
    <n v="27.769467619047621"/>
    <m/>
    <n v="2000"/>
    <m/>
    <n v="55538.93523809524"/>
    <s v=""/>
  </r>
  <r>
    <n v="251"/>
    <n v="637"/>
    <x v="22"/>
    <x v="94"/>
    <s v="Zona_V"/>
    <s v="Vivero"/>
    <s v="Vivero"/>
    <s v="PRUEBAS"/>
    <x v="1"/>
    <x v="0"/>
    <s v="Biofertilizantes"/>
    <m/>
    <n v="40"/>
    <m/>
    <n v="140"/>
    <s v=""/>
    <n v="5600"/>
  </r>
  <r>
    <n v="252"/>
    <m/>
    <x v="22"/>
    <x v="95"/>
    <m/>
    <m/>
    <m/>
    <m/>
    <x v="0"/>
    <x v="0"/>
    <s v="Biofertilizantes"/>
    <n v="27.769467619047621"/>
    <m/>
    <n v="2000"/>
    <m/>
    <n v="55538.93523809524"/>
    <s v=""/>
  </r>
  <r>
    <n v="253"/>
    <m/>
    <x v="22"/>
    <x v="96"/>
    <m/>
    <m/>
    <m/>
    <m/>
    <x v="1"/>
    <x v="6"/>
    <s v="Apicultura"/>
    <m/>
    <n v="82.5"/>
    <m/>
    <n v="42"/>
    <s v=""/>
    <n v="3465"/>
  </r>
  <r>
    <n v="254"/>
    <n v="640"/>
    <x v="22"/>
    <x v="97"/>
    <s v="Almacen"/>
    <s v="Marco Bentancourt"/>
    <s v="Marco Bentancourt"/>
    <s v="OC-CS-0724"/>
    <x v="1"/>
    <x v="2"/>
    <s v="Biorepelentes"/>
    <m/>
    <n v="299"/>
    <m/>
    <n v="400"/>
    <s v=""/>
    <n v="119600"/>
  </r>
  <r>
    <n v="255"/>
    <n v="638"/>
    <x v="22"/>
    <x v="97"/>
    <s v="Externo"/>
    <s v="Veracruz"/>
    <s v="Veracruz"/>
    <m/>
    <x v="1"/>
    <x v="4"/>
    <s v="Biorepelentes"/>
    <m/>
    <n v="17"/>
    <m/>
    <n v="1500"/>
    <s v=""/>
    <n v="25500"/>
  </r>
  <r>
    <n v="256"/>
    <n v="639"/>
    <x v="22"/>
    <x v="97"/>
    <s v="Externo"/>
    <s v="Veracruz"/>
    <s v="Veracruz"/>
    <s v="VENTA"/>
    <x v="1"/>
    <x v="0"/>
    <s v="Biofertilizantes"/>
    <m/>
    <n v="80"/>
    <m/>
    <n v="2200"/>
    <s v=""/>
    <n v="176000"/>
  </r>
  <r>
    <n v="257"/>
    <n v="641"/>
    <x v="22"/>
    <x v="98"/>
    <s v="Almacen"/>
    <s v="Marco Bentancourt"/>
    <s v="Marco Bentancourt"/>
    <s v="OC-CS-0727"/>
    <x v="1"/>
    <x v="0"/>
    <s v="Biofertilizantes"/>
    <m/>
    <n v="40"/>
    <m/>
    <n v="1800"/>
    <s v=""/>
    <n v="72000"/>
  </r>
  <r>
    <n v="258"/>
    <m/>
    <x v="22"/>
    <x v="99"/>
    <m/>
    <m/>
    <m/>
    <m/>
    <x v="0"/>
    <x v="3"/>
    <s v="Control Biologico"/>
    <n v="17000"/>
    <m/>
    <n v="1.1279999999999999"/>
    <m/>
    <n v="19175.999999999996"/>
    <s v=""/>
  </r>
  <r>
    <n v="259"/>
    <m/>
    <x v="22"/>
    <x v="99"/>
    <s v="Control_Biologico"/>
    <s v="Luis Naranjo"/>
    <s v="Siembra"/>
    <m/>
    <x v="1"/>
    <x v="3"/>
    <s v="Control Biologico"/>
    <m/>
    <m/>
    <m/>
    <n v="0.11"/>
    <s v=""/>
    <s v=""/>
  </r>
  <r>
    <n v="260"/>
    <m/>
    <x v="22"/>
    <x v="99"/>
    <m/>
    <m/>
    <m/>
    <m/>
    <x v="1"/>
    <x v="3"/>
    <s v="Control Biologico"/>
    <m/>
    <n v="25000"/>
    <m/>
    <n v="0.65"/>
    <s v=""/>
    <n v="16250"/>
  </r>
  <r>
    <n v="261"/>
    <m/>
    <x v="22"/>
    <x v="99"/>
    <s v="Externo"/>
    <s v="Banamares S.P.R."/>
    <s v="Banamares S.P.R."/>
    <m/>
    <x v="1"/>
    <x v="3"/>
    <s v="Control Biologico"/>
    <m/>
    <n v="42000"/>
    <m/>
    <n v="0.25"/>
    <s v=""/>
    <n v="10500"/>
  </r>
  <r>
    <n v="262"/>
    <m/>
    <x v="22"/>
    <x v="99"/>
    <m/>
    <m/>
    <m/>
    <m/>
    <x v="0"/>
    <x v="1"/>
    <s v="Biofertilizantes"/>
    <n v="0.75"/>
    <m/>
    <n v="15000"/>
    <m/>
    <n v="11250"/>
    <s v=""/>
  </r>
  <r>
    <n v="263"/>
    <n v="12000"/>
    <x v="22"/>
    <x v="99"/>
    <s v="Zona_C"/>
    <s v="Rodolfo Cisneros"/>
    <s v="Planta B A [Mx]"/>
    <m/>
    <x v="1"/>
    <x v="7"/>
    <s v="Biofertilizantes"/>
    <m/>
    <n v="2"/>
    <m/>
    <n v="3000"/>
    <s v=""/>
    <n v="6000"/>
  </r>
  <r>
    <n v="264"/>
    <m/>
    <x v="22"/>
    <x v="99"/>
    <s v="MultiRoot_P"/>
    <s v="Esteban Gtz"/>
    <s v="Biofertilizantes"/>
    <m/>
    <x v="1"/>
    <x v="1"/>
    <s v="Biofertilizantes"/>
    <m/>
    <m/>
    <m/>
    <n v="1500"/>
    <s v=""/>
    <s v=""/>
  </r>
  <r>
    <n v="265"/>
    <m/>
    <x v="22"/>
    <x v="99"/>
    <m/>
    <m/>
    <m/>
    <m/>
    <x v="0"/>
    <x v="6"/>
    <s v="Apicultura"/>
    <n v="287.6268905420971"/>
    <m/>
    <n v="349.45000000000005"/>
    <m/>
    <n v="100511.21689993584"/>
    <s v=""/>
  </r>
  <r>
    <n v="266"/>
    <m/>
    <x v="23"/>
    <x v="100"/>
    <m/>
    <m/>
    <m/>
    <m/>
    <x v="1"/>
    <x v="6"/>
    <s v="Apicultura"/>
    <m/>
    <m/>
    <m/>
    <n v="1"/>
    <s v=""/>
    <s v=""/>
  </r>
  <r>
    <n v="267"/>
    <n v="8835"/>
    <x v="23"/>
    <x v="101"/>
    <s v="Zona_C"/>
    <s v="Rodolfo Cisneros"/>
    <s v="Kairo A [Mx]"/>
    <m/>
    <x v="1"/>
    <x v="1"/>
    <s v="Biofertilizantes"/>
    <m/>
    <n v="1.2"/>
    <m/>
    <n v="10000"/>
    <s v=""/>
    <n v="12000"/>
  </r>
  <r>
    <n v="268"/>
    <s v="F-8839"/>
    <x v="23"/>
    <x v="102"/>
    <s v="Zona_E"/>
    <s v="Alberto Sánchez"/>
    <s v="Coquimatlan A [Persa]"/>
    <m/>
    <x v="1"/>
    <x v="9"/>
    <s v="Biofertilizantes"/>
    <m/>
    <n v="7"/>
    <m/>
    <n v="9360"/>
    <s v=""/>
    <n v="65520"/>
  </r>
  <r>
    <n v="269"/>
    <n v="642"/>
    <x v="23"/>
    <x v="102"/>
    <s v="Almacen"/>
    <s v="Marco Bentancourt"/>
    <s v="Marco Bentancourt"/>
    <s v="OC-CS-0729"/>
    <x v="1"/>
    <x v="2"/>
    <s v="Biorepelentes"/>
    <m/>
    <n v="299"/>
    <m/>
    <n v="400"/>
    <s v=""/>
    <n v="119600"/>
  </r>
  <r>
    <n v="270"/>
    <m/>
    <x v="23"/>
    <x v="103"/>
    <m/>
    <m/>
    <m/>
    <m/>
    <x v="0"/>
    <x v="1"/>
    <s v="Biofertilizantes"/>
    <n v="0.75"/>
    <m/>
    <n v="8000"/>
    <m/>
    <n v="6000"/>
    <s v=""/>
  </r>
  <r>
    <n v="271"/>
    <m/>
    <x v="23"/>
    <x v="103"/>
    <m/>
    <m/>
    <m/>
    <m/>
    <x v="1"/>
    <x v="7"/>
    <s v="Biofertilizantes"/>
    <m/>
    <n v="2"/>
    <m/>
    <n v="116870"/>
    <s v=""/>
    <n v="233740"/>
  </r>
  <r>
    <n v="272"/>
    <s v="F8829, F8830, F8836, F8837"/>
    <x v="23"/>
    <x v="103"/>
    <s v="Zona_C"/>
    <s v="Rodolfo Cisneros"/>
    <m/>
    <m/>
    <x v="1"/>
    <x v="8"/>
    <s v="Biofertilizantes"/>
    <m/>
    <n v="3.5"/>
    <m/>
    <n v="34620"/>
    <s v=""/>
    <n v="121170"/>
  </r>
  <r>
    <n v="273"/>
    <m/>
    <x v="23"/>
    <x v="103"/>
    <m/>
    <m/>
    <m/>
    <m/>
    <x v="0"/>
    <x v="3"/>
    <s v="Control Biologico"/>
    <n v="17000"/>
    <m/>
    <n v="1.0249999999999999"/>
    <m/>
    <n v="17425"/>
    <s v=""/>
  </r>
  <r>
    <n v="274"/>
    <m/>
    <x v="23"/>
    <x v="103"/>
    <m/>
    <m/>
    <m/>
    <m/>
    <x v="1"/>
    <x v="3"/>
    <s v="Control Biologico"/>
    <m/>
    <n v="25000"/>
    <m/>
    <n v="1.0900000000000001"/>
    <s v=""/>
    <n v="27250.000000000004"/>
  </r>
  <r>
    <n v="275"/>
    <m/>
    <x v="23"/>
    <x v="103"/>
    <s v="Externo"/>
    <s v="Agriorg Bananera"/>
    <s v="Agriorg Bananera"/>
    <m/>
    <x v="1"/>
    <x v="3"/>
    <s v="Control Biologico"/>
    <m/>
    <n v="42000"/>
    <m/>
    <n v="0.313"/>
    <s v=""/>
    <n v="13146"/>
  </r>
  <r>
    <n v="276"/>
    <m/>
    <x v="24"/>
    <x v="104"/>
    <m/>
    <m/>
    <m/>
    <m/>
    <x v="0"/>
    <x v="10"/>
    <s v="Biorepelentes"/>
    <n v="82.584879220000005"/>
    <m/>
    <n v="400"/>
    <m/>
    <n v="33033.951688000001"/>
    <s v=""/>
  </r>
  <r>
    <n v="277"/>
    <s v="F-15664"/>
    <x v="24"/>
    <x v="104"/>
    <s v="MultiRoot_P"/>
    <s v="Esteban Gtz"/>
    <s v="Biofertilizantes"/>
    <m/>
    <x v="1"/>
    <x v="1"/>
    <s v="Biofertilizantes"/>
    <m/>
    <m/>
    <m/>
    <n v="375"/>
    <s v=""/>
    <s v=""/>
  </r>
  <r>
    <n v="278"/>
    <m/>
    <x v="24"/>
    <x v="104"/>
    <m/>
    <m/>
    <m/>
    <m/>
    <x v="0"/>
    <x v="0"/>
    <s v="Biofertilizantes"/>
    <n v="27.769467619047621"/>
    <m/>
    <n v="1000"/>
    <m/>
    <n v="27769.46761904762"/>
    <s v=""/>
  </r>
  <r>
    <n v="279"/>
    <m/>
    <x v="24"/>
    <x v="105"/>
    <m/>
    <m/>
    <m/>
    <m/>
    <x v="0"/>
    <x v="10"/>
    <s v="Biorepelentes"/>
    <n v="82.584879220000005"/>
    <m/>
    <n v="400"/>
    <m/>
    <n v="33033.951688000001"/>
    <s v=""/>
  </r>
  <r>
    <n v="280"/>
    <m/>
    <x v="24"/>
    <x v="105"/>
    <m/>
    <m/>
    <m/>
    <m/>
    <x v="0"/>
    <x v="2"/>
    <s v="Biorepelentes"/>
    <n v="247.18544827008316"/>
    <m/>
    <n v="200"/>
    <m/>
    <n v="49437.089654016629"/>
    <s v=""/>
  </r>
  <r>
    <n v="281"/>
    <s v="F-15659"/>
    <x v="24"/>
    <x v="105"/>
    <s v="Zona_E"/>
    <s v="Alberto Sánchez"/>
    <s v="Santa Amalia A [Persa]"/>
    <m/>
    <x v="1"/>
    <x v="7"/>
    <s v="Biofertilizantes"/>
    <m/>
    <n v="2"/>
    <m/>
    <n v="8900"/>
    <s v=""/>
    <n v="17800"/>
  </r>
  <r>
    <n v="282"/>
    <s v="F-15660"/>
    <x v="24"/>
    <x v="105"/>
    <s v="Zona_E"/>
    <s v="Alberto Sánchez"/>
    <s v="Santa Amalia A [Persa]"/>
    <m/>
    <x v="1"/>
    <x v="7"/>
    <s v="Biofertilizantes"/>
    <m/>
    <n v="2"/>
    <m/>
    <n v="8050"/>
    <s v=""/>
    <n v="16100"/>
  </r>
  <r>
    <n v="283"/>
    <s v="F-15661"/>
    <x v="24"/>
    <x v="105"/>
    <s v="Zona_E"/>
    <s v="Alberto Sánchez"/>
    <s v="Santa Amalia A [Persa]"/>
    <m/>
    <x v="1"/>
    <x v="7"/>
    <s v="Biofertilizantes"/>
    <m/>
    <n v="2"/>
    <m/>
    <n v="10180"/>
    <s v=""/>
    <n v="20360"/>
  </r>
  <r>
    <n v="284"/>
    <s v="F-15662"/>
    <x v="24"/>
    <x v="105"/>
    <s v="Zona_E"/>
    <s v="Alberto Sánchez"/>
    <s v="Santa Amalia A [Persa]"/>
    <m/>
    <x v="1"/>
    <x v="7"/>
    <s v="Biofertilizantes"/>
    <m/>
    <n v="2"/>
    <m/>
    <n v="8770"/>
    <s v=""/>
    <n v="17540"/>
  </r>
  <r>
    <n v="285"/>
    <m/>
    <x v="24"/>
    <x v="105"/>
    <m/>
    <m/>
    <m/>
    <m/>
    <x v="0"/>
    <x v="6"/>
    <s v="Apicultura"/>
    <n v="287.6268905420971"/>
    <m/>
    <n v="57.14"/>
    <m/>
    <n v="16435.000525575429"/>
    <s v=""/>
  </r>
  <r>
    <n v="286"/>
    <n v="643"/>
    <x v="24"/>
    <x v="106"/>
    <s v="Almacen"/>
    <s v="Marco Bentancourt"/>
    <s v="Marco Bentancourt"/>
    <s v="OC-CS-0740"/>
    <x v="1"/>
    <x v="10"/>
    <s v="Biorepelentes"/>
    <m/>
    <n v="110"/>
    <m/>
    <n v="800"/>
    <s v=""/>
    <n v="88000"/>
  </r>
  <r>
    <n v="287"/>
    <m/>
    <x v="24"/>
    <x v="106"/>
    <m/>
    <m/>
    <m/>
    <m/>
    <x v="1"/>
    <x v="6"/>
    <s v="Apicultura"/>
    <m/>
    <n v="82.5"/>
    <m/>
    <n v="40"/>
    <s v=""/>
    <n v="3300"/>
  </r>
  <r>
    <n v="288"/>
    <s v="F-15665"/>
    <x v="24"/>
    <x v="107"/>
    <s v="Zona_C"/>
    <s v="Rodolfo Cisneros"/>
    <s v="Kairo A [Mx]"/>
    <m/>
    <x v="1"/>
    <x v="1"/>
    <s v="Biofertilizantes"/>
    <m/>
    <n v="1.2"/>
    <m/>
    <n v="2000"/>
    <s v=""/>
    <n v="2400"/>
  </r>
  <r>
    <n v="289"/>
    <s v="F-15666"/>
    <x v="24"/>
    <x v="107"/>
    <s v="Zona_C"/>
    <s v="Rodolfo Cisneros"/>
    <s v="Mocambo A [Persa]"/>
    <m/>
    <x v="1"/>
    <x v="1"/>
    <s v="Biofertilizantes"/>
    <m/>
    <n v="1.2"/>
    <m/>
    <n v="8000"/>
    <s v=""/>
    <n v="9600"/>
  </r>
  <r>
    <n v="290"/>
    <n v="644"/>
    <x v="24"/>
    <x v="108"/>
    <s v="Almacen"/>
    <s v="Marco Bentancourt"/>
    <s v="Marco Bentancourt"/>
    <s v="OC-CS-0748"/>
    <x v="1"/>
    <x v="2"/>
    <s v="Biorepelentes"/>
    <m/>
    <n v="299"/>
    <m/>
    <n v="200"/>
    <s v=""/>
    <n v="59800"/>
  </r>
  <r>
    <n v="291"/>
    <n v="645"/>
    <x v="24"/>
    <x v="108"/>
    <s v="Zona_V"/>
    <s v="Vivero"/>
    <s v="Vivero"/>
    <s v="PRUEBAS"/>
    <x v="1"/>
    <x v="0"/>
    <s v="Biofertilizantes"/>
    <m/>
    <n v="40"/>
    <m/>
    <n v="60"/>
    <s v=""/>
    <n v="2400"/>
  </r>
  <r>
    <n v="292"/>
    <n v="646"/>
    <x v="24"/>
    <x v="108"/>
    <s v="Almacen"/>
    <s v="Marco Bentancourt"/>
    <s v="Marco Bentancourt"/>
    <s v="Garrafa rota"/>
    <x v="1"/>
    <x v="0"/>
    <s v="Biofertilizantes"/>
    <m/>
    <n v="40"/>
    <m/>
    <n v="20"/>
    <s v=""/>
    <n v="800"/>
  </r>
  <r>
    <n v="293"/>
    <m/>
    <x v="24"/>
    <x v="109"/>
    <m/>
    <m/>
    <m/>
    <m/>
    <x v="0"/>
    <x v="3"/>
    <s v="Control Biologico"/>
    <n v="17000"/>
    <m/>
    <n v="1.3149999999999999"/>
    <m/>
    <n v="22355"/>
    <s v=""/>
  </r>
  <r>
    <n v="294"/>
    <m/>
    <x v="24"/>
    <x v="109"/>
    <s v="Control_Biologico"/>
    <s v="Luis Naranjo"/>
    <s v="Siembra"/>
    <m/>
    <x v="1"/>
    <x v="3"/>
    <s v="Control Biologico"/>
    <m/>
    <m/>
    <m/>
    <n v="0.11"/>
    <s v=""/>
    <s v=""/>
  </r>
  <r>
    <n v="295"/>
    <m/>
    <x v="24"/>
    <x v="109"/>
    <m/>
    <m/>
    <m/>
    <m/>
    <x v="1"/>
    <x v="3"/>
    <s v="Control Biologico"/>
    <m/>
    <n v="25000"/>
    <m/>
    <n v="0.19"/>
    <s v=""/>
    <n v="4750"/>
  </r>
  <r>
    <n v="296"/>
    <m/>
    <x v="24"/>
    <x v="109"/>
    <s v="Externo"/>
    <s v="Banamares S.P.R."/>
    <s v="Banamares S.P.R."/>
    <m/>
    <x v="1"/>
    <x v="3"/>
    <s v="Control Biologico"/>
    <m/>
    <n v="42000"/>
    <m/>
    <n v="0.313"/>
    <s v=""/>
    <n v="13146"/>
  </r>
  <r>
    <n v="297"/>
    <s v="F-15674"/>
    <x v="25"/>
    <x v="110"/>
    <s v="MultiRoot_P"/>
    <s v="Esteban Gtz"/>
    <s v="Biofertilizantes"/>
    <m/>
    <x v="1"/>
    <x v="1"/>
    <s v="Biofertilizantes"/>
    <m/>
    <m/>
    <m/>
    <n v="375"/>
    <s v=""/>
    <s v=""/>
  </r>
  <r>
    <n v="298"/>
    <s v="F15672"/>
    <x v="25"/>
    <x v="110"/>
    <s v="Zona_E"/>
    <s v="Alberto Sánchez"/>
    <s v="Santa Amalia B [Persa]"/>
    <m/>
    <x v="1"/>
    <x v="8"/>
    <s v="Biofertilizantes"/>
    <m/>
    <n v="3.5"/>
    <m/>
    <n v="9960"/>
    <s v=""/>
    <n v="34860"/>
  </r>
  <r>
    <n v="299"/>
    <m/>
    <x v="25"/>
    <x v="111"/>
    <m/>
    <m/>
    <m/>
    <m/>
    <x v="0"/>
    <x v="0"/>
    <s v="Biofertilizantes"/>
    <n v="27.769467619047621"/>
    <m/>
    <n v="1000"/>
    <m/>
    <n v="27769.46761904762"/>
    <s v=""/>
  </r>
  <r>
    <n v="300"/>
    <m/>
    <x v="25"/>
    <x v="111"/>
    <m/>
    <m/>
    <m/>
    <m/>
    <x v="0"/>
    <x v="2"/>
    <s v="Biorepelentes"/>
    <n v="247.18544827008316"/>
    <m/>
    <n v="1400"/>
    <m/>
    <n v="346059.62757811643"/>
    <s v=""/>
  </r>
  <r>
    <n v="301"/>
    <s v="BR-647, BR-648"/>
    <x v="25"/>
    <x v="112"/>
    <s v="Almacen"/>
    <s v="Marco Bentancourt"/>
    <s v="Marco Bentancourt"/>
    <s v="OC-CS-0751"/>
    <x v="1"/>
    <x v="2"/>
    <s v="Biorepelentes"/>
    <m/>
    <n v="299"/>
    <m/>
    <n v="1000"/>
    <s v=""/>
    <n v="299000"/>
  </r>
  <r>
    <n v="302"/>
    <s v="F-15669, F-15670, F-15671, F-15673"/>
    <x v="25"/>
    <x v="113"/>
    <s v="Zona_E"/>
    <s v="Alberto Sánchez"/>
    <s v="Coquimatlan A [Persa]"/>
    <m/>
    <x v="1"/>
    <x v="7"/>
    <s v="Biofertilizantes"/>
    <m/>
    <n v="2"/>
    <m/>
    <n v="35070"/>
    <s v=""/>
    <n v="70140"/>
  </r>
  <r>
    <n v="303"/>
    <m/>
    <x v="25"/>
    <x v="113"/>
    <m/>
    <m/>
    <m/>
    <m/>
    <x v="0"/>
    <x v="1"/>
    <s v="Biofertilizantes"/>
    <n v="0.75"/>
    <m/>
    <n v="12000"/>
    <m/>
    <n v="9000"/>
    <s v=""/>
  </r>
  <r>
    <n v="304"/>
    <m/>
    <x v="25"/>
    <x v="113"/>
    <m/>
    <m/>
    <m/>
    <m/>
    <x v="0"/>
    <x v="5"/>
    <s v="Biorepelentes"/>
    <n v="199.92359142534642"/>
    <m/>
    <n v="400"/>
    <m/>
    <n v="79969.436570138569"/>
    <s v=""/>
  </r>
  <r>
    <n v="305"/>
    <m/>
    <x v="25"/>
    <x v="113"/>
    <m/>
    <m/>
    <m/>
    <m/>
    <x v="0"/>
    <x v="3"/>
    <s v="Control Biologico"/>
    <n v="17000"/>
    <m/>
    <n v="1.405"/>
    <m/>
    <n v="23885"/>
    <s v=""/>
  </r>
  <r>
    <n v="306"/>
    <m/>
    <x v="25"/>
    <x v="113"/>
    <m/>
    <m/>
    <m/>
    <m/>
    <x v="1"/>
    <x v="3"/>
    <s v="Control Biologico"/>
    <m/>
    <n v="25000"/>
    <m/>
    <n v="2.42"/>
    <s v=""/>
    <n v="60500"/>
  </r>
  <r>
    <n v="307"/>
    <m/>
    <x v="25"/>
    <x v="113"/>
    <s v="Externo"/>
    <s v="Agriorg Bananera"/>
    <s v="Agriorg Bananera"/>
    <m/>
    <x v="1"/>
    <x v="3"/>
    <s v="Control Biologico"/>
    <m/>
    <n v="42000"/>
    <m/>
    <n v="0.25"/>
    <s v=""/>
    <n v="10500"/>
  </r>
  <r>
    <n v="308"/>
    <m/>
    <x v="25"/>
    <x v="113"/>
    <m/>
    <m/>
    <m/>
    <m/>
    <x v="1"/>
    <x v="6"/>
    <s v="Apicultura"/>
    <m/>
    <n v="82.5"/>
    <m/>
    <n v="55"/>
    <s v=""/>
    <n v="4537.5"/>
  </r>
  <r>
    <n v="309"/>
    <n v="649"/>
    <x v="26"/>
    <x v="114"/>
    <s v="Almacen"/>
    <s v="Marco Bentancourt"/>
    <s v="Marco Bentancourt"/>
    <s v="OC-CS-0776"/>
    <x v="1"/>
    <x v="5"/>
    <s v="Biorepelentes"/>
    <m/>
    <n v="240"/>
    <m/>
    <n v="400"/>
    <s v=""/>
    <n v="96000"/>
  </r>
  <r>
    <n v="310"/>
    <n v="650"/>
    <x v="26"/>
    <x v="115"/>
    <s v="Externo"/>
    <s v="Yucatán"/>
    <s v="Yucatán"/>
    <m/>
    <x v="1"/>
    <x v="0"/>
    <s v="Biofertilizantes"/>
    <m/>
    <n v="80"/>
    <m/>
    <n v="2000"/>
    <s v=""/>
    <n v="160000"/>
  </r>
  <r>
    <n v="311"/>
    <m/>
    <x v="26"/>
    <x v="116"/>
    <m/>
    <m/>
    <m/>
    <m/>
    <x v="0"/>
    <x v="6"/>
    <s v="Apicultura"/>
    <n v="287.6268905420971"/>
    <m/>
    <n v="259.39999999999998"/>
    <m/>
    <n v="74610.415406619984"/>
    <s v=""/>
  </r>
  <r>
    <n v="312"/>
    <m/>
    <x v="26"/>
    <x v="116"/>
    <m/>
    <m/>
    <m/>
    <m/>
    <x v="0"/>
    <x v="7"/>
    <s v="Biofertilizantes"/>
    <n v="1.25"/>
    <m/>
    <n v="69200"/>
    <m/>
    <n v="86500"/>
    <s v=""/>
  </r>
  <r>
    <n v="313"/>
    <m/>
    <x v="26"/>
    <x v="116"/>
    <m/>
    <m/>
    <m/>
    <m/>
    <x v="0"/>
    <x v="1"/>
    <s v="Biofertilizantes"/>
    <n v="0.75"/>
    <m/>
    <n v="10000"/>
    <m/>
    <n v="7500"/>
    <s v=""/>
  </r>
  <r>
    <n v="314"/>
    <m/>
    <x v="26"/>
    <x v="116"/>
    <m/>
    <m/>
    <m/>
    <m/>
    <x v="1"/>
    <x v="6"/>
    <s v="Apicultura"/>
    <m/>
    <n v="82.5"/>
    <m/>
    <n v="30"/>
    <s v=""/>
    <n v="2475"/>
  </r>
  <r>
    <n v="315"/>
    <m/>
    <x v="26"/>
    <x v="117"/>
    <m/>
    <m/>
    <m/>
    <m/>
    <x v="0"/>
    <x v="3"/>
    <s v="Control Biologico"/>
    <n v="17000"/>
    <m/>
    <n v="1.091"/>
    <m/>
    <n v="18547"/>
    <s v=""/>
  </r>
  <r>
    <n v="316"/>
    <m/>
    <x v="26"/>
    <x v="117"/>
    <s v="Control_Biologico"/>
    <s v="Luis Naranjo"/>
    <s v="Siembra"/>
    <m/>
    <x v="1"/>
    <x v="3"/>
    <s v="Control Biologico"/>
    <m/>
    <m/>
    <m/>
    <n v="0.11"/>
    <s v=""/>
    <s v=""/>
  </r>
  <r>
    <n v="317"/>
    <m/>
    <x v="26"/>
    <x v="117"/>
    <m/>
    <m/>
    <m/>
    <m/>
    <x v="1"/>
    <x v="3"/>
    <s v="Control Biologico"/>
    <m/>
    <n v="25000"/>
    <m/>
    <n v="0.78500000000000003"/>
    <s v=""/>
    <n v="19625"/>
  </r>
  <r>
    <n v="318"/>
    <m/>
    <x v="26"/>
    <x v="117"/>
    <s v="Externo"/>
    <s v="Banamares S.P.R."/>
    <s v="Banamares S.P.R."/>
    <m/>
    <x v="1"/>
    <x v="3"/>
    <s v="Control Biologico"/>
    <m/>
    <n v="42000"/>
    <m/>
    <n v="0.32"/>
    <s v=""/>
    <n v="13440"/>
  </r>
  <r>
    <n v="319"/>
    <s v="f15673, f15674"/>
    <x v="26"/>
    <x v="117"/>
    <s v="Zona_A"/>
    <s v="Roberto Padilla"/>
    <s v="Cura [Mx]"/>
    <m/>
    <x v="1"/>
    <x v="1"/>
    <s v="Biofertilizantes"/>
    <m/>
    <n v="1.2"/>
    <m/>
    <n v="20000"/>
    <s v=""/>
    <n v="24000"/>
  </r>
  <r>
    <n v="320"/>
    <m/>
    <x v="27"/>
    <x v="118"/>
    <m/>
    <m/>
    <m/>
    <m/>
    <x v="1"/>
    <x v="6"/>
    <s v="Apicultura"/>
    <m/>
    <m/>
    <m/>
    <n v="1.5"/>
    <s v=""/>
    <s v=""/>
  </r>
  <r>
    <n v="321"/>
    <m/>
    <x v="27"/>
    <x v="119"/>
    <m/>
    <m/>
    <m/>
    <m/>
    <x v="1"/>
    <x v="6"/>
    <s v="Apicultura"/>
    <m/>
    <n v="82.5"/>
    <m/>
    <n v="32"/>
    <s v=""/>
    <n v="2640"/>
  </r>
  <r>
    <n v="322"/>
    <m/>
    <x v="27"/>
    <x v="120"/>
    <m/>
    <m/>
    <m/>
    <m/>
    <x v="0"/>
    <x v="3"/>
    <s v="Control Biologico"/>
    <n v="17000"/>
    <m/>
    <n v="0.96"/>
    <m/>
    <n v="16320"/>
    <s v=""/>
  </r>
  <r>
    <n v="323"/>
    <m/>
    <x v="27"/>
    <x v="120"/>
    <m/>
    <m/>
    <m/>
    <m/>
    <x v="1"/>
    <x v="3"/>
    <s v="Control Biologico"/>
    <m/>
    <n v="25000"/>
    <m/>
    <n v="0.40500000000000003"/>
    <s v=""/>
    <n v="10125"/>
  </r>
  <r>
    <n v="324"/>
    <m/>
    <x v="27"/>
    <x v="120"/>
    <s v="Externo"/>
    <s v="Agriorg Bananera"/>
    <s v="Agriorg Bananera"/>
    <m/>
    <x v="1"/>
    <x v="3"/>
    <s v="Control Biologico"/>
    <m/>
    <n v="42000"/>
    <m/>
    <n v="0.31"/>
    <s v=""/>
    <n v="13020"/>
  </r>
  <r>
    <n v="325"/>
    <m/>
    <x v="27"/>
    <x v="120"/>
    <m/>
    <m/>
    <m/>
    <m/>
    <x v="0"/>
    <x v="1"/>
    <s v="Biofertilizantes"/>
    <n v="0.75"/>
    <m/>
    <n v="8000"/>
    <m/>
    <n v="6000"/>
    <s v=""/>
  </r>
  <r>
    <n v="326"/>
    <s v="F-15675"/>
    <x v="27"/>
    <x v="120"/>
    <s v="Zona_B"/>
    <s v="Alejandro Núñez"/>
    <s v="Pampas 1 [Mx]"/>
    <m/>
    <x v="1"/>
    <x v="1"/>
    <s v="Biofertilizantes"/>
    <m/>
    <n v="1.2"/>
    <m/>
    <n v="1000"/>
    <s v=""/>
    <n v="1200"/>
  </r>
  <r>
    <n v="327"/>
    <s v="F-15676"/>
    <x v="27"/>
    <x v="120"/>
    <s v="MultiRoot_P"/>
    <s v="Esteban Gtz"/>
    <s v="Biofertilizantes"/>
    <m/>
    <x v="1"/>
    <x v="1"/>
    <s v="Biofertilizantes"/>
    <m/>
    <m/>
    <m/>
    <n v="750"/>
    <s v=""/>
    <s v=""/>
  </r>
  <r>
    <n v="328"/>
    <m/>
    <x v="27"/>
    <x v="120"/>
    <m/>
    <m/>
    <m/>
    <m/>
    <x v="0"/>
    <x v="0"/>
    <s v="Biofertilizantes"/>
    <n v="27.769467619047621"/>
    <m/>
    <n v="2000"/>
    <m/>
    <n v="55538.93523809524"/>
    <s v=""/>
  </r>
  <r>
    <n v="329"/>
    <m/>
    <x v="27"/>
    <x v="120"/>
    <m/>
    <m/>
    <m/>
    <m/>
    <x v="0"/>
    <x v="8"/>
    <s v="Biofertilizantes"/>
    <n v="2.2000000000000002"/>
    <m/>
    <n v="12000"/>
    <m/>
    <n v="26400.000000000004"/>
    <s v=""/>
  </r>
  <r>
    <n v="330"/>
    <s v="F15679,F15680,F15681,F15682,F15683,F15684"/>
    <x v="28"/>
    <x v="121"/>
    <m/>
    <m/>
    <m/>
    <m/>
    <x v="1"/>
    <x v="7"/>
    <s v="Biofertilizantes"/>
    <m/>
    <n v="2"/>
    <m/>
    <n v="57590"/>
    <s v=""/>
    <n v="115180"/>
  </r>
  <r>
    <n v="331"/>
    <s v="F15677"/>
    <x v="28"/>
    <x v="121"/>
    <s v="Zona_V"/>
    <s v="Vivero"/>
    <s v="Vivero"/>
    <m/>
    <x v="1"/>
    <x v="8"/>
    <s v="Biofertilizantes"/>
    <m/>
    <n v="3.5"/>
    <m/>
    <n v="2170"/>
    <s v=""/>
    <n v="7595"/>
  </r>
  <r>
    <n v="332"/>
    <m/>
    <x v="28"/>
    <x v="122"/>
    <m/>
    <m/>
    <m/>
    <m/>
    <x v="0"/>
    <x v="2"/>
    <s v="Biorepelentes"/>
    <n v="247.18544827008316"/>
    <m/>
    <n v="600"/>
    <m/>
    <n v="148311.26896204989"/>
    <s v=""/>
  </r>
  <r>
    <n v="333"/>
    <n v="651"/>
    <x v="28"/>
    <x v="123"/>
    <s v="Almacen"/>
    <s v="Marco Bentancourt"/>
    <s v="Marco Bentancourt"/>
    <s v="OC-CS-0770"/>
    <x v="1"/>
    <x v="2"/>
    <s v="Biorepelentes"/>
    <m/>
    <n v="299"/>
    <m/>
    <n v="400"/>
    <s v=""/>
    <n v="119600"/>
  </r>
  <r>
    <n v="334"/>
    <m/>
    <x v="28"/>
    <x v="123"/>
    <m/>
    <m/>
    <m/>
    <m/>
    <x v="0"/>
    <x v="0"/>
    <s v="Biofertilizantes"/>
    <n v="27.769467619047621"/>
    <m/>
    <n v="1000"/>
    <m/>
    <n v="27769.46761904762"/>
    <s v=""/>
  </r>
  <r>
    <n v="335"/>
    <m/>
    <x v="28"/>
    <x v="124"/>
    <m/>
    <m/>
    <m/>
    <m/>
    <x v="1"/>
    <x v="6"/>
    <s v="Apicultura"/>
    <m/>
    <n v="82.5"/>
    <m/>
    <n v="40"/>
    <s v=""/>
    <n v="3300"/>
  </r>
  <r>
    <n v="336"/>
    <m/>
    <x v="28"/>
    <x v="125"/>
    <m/>
    <m/>
    <m/>
    <m/>
    <x v="0"/>
    <x v="3"/>
    <s v="Control Biologico"/>
    <n v="17000"/>
    <m/>
    <n v="1.2969999999999999"/>
    <m/>
    <n v="22049"/>
    <s v=""/>
  </r>
  <r>
    <n v="337"/>
    <m/>
    <x v="28"/>
    <x v="125"/>
    <s v="Control_Biologico"/>
    <s v="Luis Naranjo"/>
    <s v="Siembra"/>
    <m/>
    <x v="1"/>
    <x v="3"/>
    <s v="Control Biologico"/>
    <m/>
    <m/>
    <m/>
    <n v="0.11"/>
    <s v=""/>
    <s v=""/>
  </r>
  <r>
    <n v="338"/>
    <m/>
    <x v="28"/>
    <x v="125"/>
    <m/>
    <m/>
    <m/>
    <m/>
    <x v="1"/>
    <x v="3"/>
    <s v="Control Biologico"/>
    <m/>
    <n v="25000"/>
    <m/>
    <n v="0.85"/>
    <s v=""/>
    <n v="21250"/>
  </r>
  <r>
    <n v="339"/>
    <m/>
    <x v="28"/>
    <x v="125"/>
    <s v="Externo"/>
    <s v="Banamares S.P.R."/>
    <s v="Banamares S.P.R."/>
    <m/>
    <x v="1"/>
    <x v="3"/>
    <s v="Control Biologico"/>
    <m/>
    <n v="42000"/>
    <m/>
    <n v="0.32"/>
    <s v=""/>
    <n v="13440"/>
  </r>
  <r>
    <n v="340"/>
    <m/>
    <x v="28"/>
    <x v="125"/>
    <m/>
    <m/>
    <m/>
    <m/>
    <x v="0"/>
    <x v="1"/>
    <s v="Biofertilizantes"/>
    <n v="0.75"/>
    <m/>
    <n v="20000"/>
    <m/>
    <n v="15000"/>
    <s v=""/>
  </r>
  <r>
    <n v="341"/>
    <s v="f15685"/>
    <x v="28"/>
    <x v="125"/>
    <s v="MultiRoot_P"/>
    <s v="Esteban Gtz"/>
    <s v="Biofertilizantes"/>
    <m/>
    <x v="1"/>
    <x v="1"/>
    <s v="Biofertilizantes"/>
    <m/>
    <m/>
    <m/>
    <n v="375"/>
    <s v=""/>
    <s v=""/>
  </r>
  <r>
    <n v="342"/>
    <s v="f15686, f15678"/>
    <x v="28"/>
    <x v="125"/>
    <s v="Zona_D"/>
    <s v="Jorge Sánchez"/>
    <s v="Las Piedras 1 [Mx]"/>
    <m/>
    <x v="1"/>
    <x v="1"/>
    <s v="Biofertilizantes"/>
    <m/>
    <n v="1.2"/>
    <m/>
    <n v="10160"/>
    <s v=""/>
    <n v="12192"/>
  </r>
  <r>
    <n v="343"/>
    <s v="F15688"/>
    <x v="29"/>
    <x v="126"/>
    <s v="Zona_E"/>
    <s v="Alberto Sánchez"/>
    <s v="Coquimatlan A [Persa]"/>
    <m/>
    <x v="1"/>
    <x v="8"/>
    <s v="Biofertilizantes"/>
    <m/>
    <n v="3.5"/>
    <m/>
    <n v="11850"/>
    <s v=""/>
    <n v="41475"/>
  </r>
  <r>
    <n v="344"/>
    <m/>
    <x v="29"/>
    <x v="127"/>
    <m/>
    <m/>
    <m/>
    <m/>
    <x v="0"/>
    <x v="3"/>
    <s v="Control Biologico"/>
    <n v="17000"/>
    <m/>
    <n v="1.002"/>
    <m/>
    <n v="17034"/>
    <s v=""/>
  </r>
  <r>
    <n v="345"/>
    <m/>
    <x v="29"/>
    <x v="127"/>
    <m/>
    <m/>
    <m/>
    <m/>
    <x v="1"/>
    <x v="3"/>
    <s v="Control Biologico"/>
    <m/>
    <n v="25000"/>
    <m/>
    <n v="0.55000000000000004"/>
    <s v=""/>
    <n v="13750.000000000002"/>
  </r>
  <r>
    <n v="346"/>
    <s v="F-15689"/>
    <x v="29"/>
    <x v="128"/>
    <s v="Zona_E"/>
    <s v="Alberto Sánchez"/>
    <s v="Coquimatlan B [Persa]"/>
    <m/>
    <x v="1"/>
    <x v="7"/>
    <s v="Biofertilizantes"/>
    <m/>
    <n v="2"/>
    <m/>
    <n v="11230"/>
    <s v=""/>
    <n v="22460"/>
  </r>
  <r>
    <n v="347"/>
    <s v="F-15690"/>
    <x v="29"/>
    <x v="129"/>
    <s v="Zona_D"/>
    <s v="Jorge Sánchez"/>
    <s v="San Miguel Ojo de Agua 1 [Persa]"/>
    <m/>
    <x v="1"/>
    <x v="1"/>
    <s v="Biofertilizantes"/>
    <m/>
    <n v="1.2"/>
    <m/>
    <n v="10000"/>
    <s v=""/>
    <n v="12000"/>
  </r>
  <r>
    <n v="348"/>
    <m/>
    <x v="29"/>
    <x v="129"/>
    <s v="Externo"/>
    <s v="Agriorg Bananera"/>
    <s v="Agriorg Bananera"/>
    <m/>
    <x v="1"/>
    <x v="3"/>
    <s v="Control Biologico"/>
    <m/>
    <n v="42000"/>
    <m/>
    <n v="0.31"/>
    <s v=""/>
    <n v="13020"/>
  </r>
  <r>
    <n v="349"/>
    <m/>
    <x v="29"/>
    <x v="129"/>
    <m/>
    <m/>
    <m/>
    <m/>
    <x v="0"/>
    <x v="2"/>
    <s v="Biorepelentes"/>
    <n v="247.18544827008316"/>
    <m/>
    <n v="200"/>
    <m/>
    <n v="49437.089654016629"/>
    <s v=""/>
  </r>
  <r>
    <n v="350"/>
    <m/>
    <x v="29"/>
    <x v="129"/>
    <m/>
    <m/>
    <m/>
    <m/>
    <x v="0"/>
    <x v="5"/>
    <s v="Biorepelentes"/>
    <n v="199.92359142534642"/>
    <m/>
    <n v="400"/>
    <m/>
    <n v="79969.436570138569"/>
    <s v=""/>
  </r>
  <r>
    <n v="351"/>
    <m/>
    <x v="29"/>
    <x v="130"/>
    <m/>
    <s v="Esteban Gtz"/>
    <s v="Biofertilizantes"/>
    <m/>
    <x v="0"/>
    <x v="7"/>
    <s v="Biofertilizantes"/>
    <n v="1.25"/>
    <m/>
    <n v="30000"/>
    <m/>
    <n v="37500"/>
    <s v=""/>
  </r>
  <r>
    <n v="352"/>
    <m/>
    <x v="29"/>
    <x v="130"/>
    <m/>
    <s v="Esteban Gtz"/>
    <s v="Biofertilizantes"/>
    <m/>
    <x v="0"/>
    <x v="1"/>
    <s v="Biofertilizantes"/>
    <n v="0.75"/>
    <m/>
    <n v="8000"/>
    <m/>
    <n v="6000"/>
    <s v=""/>
  </r>
  <r>
    <n v="353"/>
    <m/>
    <x v="29"/>
    <x v="130"/>
    <m/>
    <m/>
    <m/>
    <m/>
    <x v="0"/>
    <x v="6"/>
    <s v="Apicultura"/>
    <n v="287.6268905420971"/>
    <m/>
    <n v="442"/>
    <m/>
    <n v="127131.08561960692"/>
    <s v=""/>
  </r>
  <r>
    <n v="354"/>
    <m/>
    <x v="30"/>
    <x v="131"/>
    <m/>
    <m/>
    <m/>
    <m/>
    <x v="0"/>
    <x v="5"/>
    <s v="Biorepelentes"/>
    <n v="199.92359142534642"/>
    <m/>
    <n v="200"/>
    <m/>
    <n v="39984.718285069284"/>
    <s v=""/>
  </r>
  <r>
    <n v="355"/>
    <s v="F-15696"/>
    <x v="30"/>
    <x v="132"/>
    <m/>
    <m/>
    <m/>
    <m/>
    <x v="1"/>
    <x v="7"/>
    <s v="Biofertilizantes"/>
    <m/>
    <n v="2"/>
    <m/>
    <n v="11190"/>
    <s v=""/>
    <n v="22380"/>
  </r>
  <r>
    <n v="356"/>
    <n v="653"/>
    <x v="30"/>
    <x v="132"/>
    <s v="Externo"/>
    <s v="Yucatán"/>
    <s v="Yucatán"/>
    <m/>
    <x v="1"/>
    <x v="0"/>
    <s v="Biofertilizantes"/>
    <m/>
    <n v="80"/>
    <m/>
    <n v="1000"/>
    <s v=""/>
    <n v="80000"/>
  </r>
  <r>
    <n v="357"/>
    <s v="F15695"/>
    <x v="30"/>
    <x v="132"/>
    <s v="Zona_E"/>
    <s v="Alberto Sánchez"/>
    <s v="Tepames 1 A [Ita]"/>
    <m/>
    <x v="1"/>
    <x v="8"/>
    <s v="Biofertilizantes"/>
    <m/>
    <n v="3.5"/>
    <m/>
    <n v="12860"/>
    <s v=""/>
    <n v="45010"/>
  </r>
  <r>
    <n v="358"/>
    <m/>
    <x v="30"/>
    <x v="132"/>
    <m/>
    <m/>
    <m/>
    <m/>
    <x v="0"/>
    <x v="10"/>
    <s v="Biorepelentes"/>
    <m/>
    <m/>
    <m/>
    <n v="-120"/>
    <s v=""/>
    <s v=""/>
  </r>
  <r>
    <n v="359"/>
    <n v="654"/>
    <x v="30"/>
    <x v="132"/>
    <s v="Externo"/>
    <s v="Yucatán"/>
    <s v="Yucatán"/>
    <m/>
    <x v="1"/>
    <x v="10"/>
    <s v="Biorepelentes"/>
    <m/>
    <n v="145"/>
    <m/>
    <n v="120"/>
    <s v=""/>
    <n v="17400"/>
  </r>
  <r>
    <n v="360"/>
    <m/>
    <x v="30"/>
    <x v="132"/>
    <m/>
    <m/>
    <m/>
    <m/>
    <x v="0"/>
    <x v="5"/>
    <s v="Biorepelentes"/>
    <m/>
    <m/>
    <m/>
    <n v="-120"/>
    <s v=""/>
    <s v=""/>
  </r>
  <r>
    <n v="361"/>
    <n v="654"/>
    <x v="30"/>
    <x v="132"/>
    <s v="Externo"/>
    <s v="Yucatán"/>
    <s v="Yucatán"/>
    <m/>
    <x v="1"/>
    <x v="5"/>
    <s v="Biorepelentes"/>
    <m/>
    <n v="350"/>
    <m/>
    <n v="120"/>
    <s v=""/>
    <n v="42000"/>
  </r>
  <r>
    <n v="362"/>
    <m/>
    <x v="30"/>
    <x v="132"/>
    <m/>
    <m/>
    <m/>
    <m/>
    <x v="0"/>
    <x v="2"/>
    <s v="Biorepelentes"/>
    <m/>
    <m/>
    <m/>
    <n v="-120"/>
    <s v=""/>
    <s v=""/>
  </r>
  <r>
    <n v="363"/>
    <n v="654"/>
    <x v="30"/>
    <x v="132"/>
    <s v="Externo"/>
    <s v="Yucatán"/>
    <s v="Yucatán"/>
    <m/>
    <x v="1"/>
    <x v="2"/>
    <s v="Biorepelentes"/>
    <m/>
    <n v="350"/>
    <m/>
    <n v="120"/>
    <s v=""/>
    <n v="42000"/>
  </r>
  <r>
    <n v="364"/>
    <m/>
    <x v="30"/>
    <x v="133"/>
    <m/>
    <m/>
    <m/>
    <m/>
    <x v="0"/>
    <x v="6"/>
    <s v="Apicultura"/>
    <n v="287.6268905420971"/>
    <m/>
    <n v="599.49"/>
    <m/>
    <n v="172429.4446110818"/>
    <s v=""/>
  </r>
  <r>
    <n v="365"/>
    <m/>
    <x v="30"/>
    <x v="133"/>
    <m/>
    <m/>
    <m/>
    <m/>
    <x v="0"/>
    <x v="1"/>
    <s v="Biofertilizantes"/>
    <n v="0.75"/>
    <m/>
    <n v="10000"/>
    <m/>
    <n v="7500"/>
    <s v=""/>
  </r>
  <r>
    <n v="366"/>
    <m/>
    <x v="30"/>
    <x v="133"/>
    <m/>
    <m/>
    <m/>
    <m/>
    <x v="0"/>
    <x v="3"/>
    <s v="Control Biologico"/>
    <n v="17000"/>
    <m/>
    <n v="0.98299999999999998"/>
    <m/>
    <n v="16711"/>
    <s v=""/>
  </r>
  <r>
    <n v="367"/>
    <m/>
    <x v="30"/>
    <x v="133"/>
    <s v="Control_Biologico"/>
    <s v="Luis Naranjo"/>
    <s v="Siembra"/>
    <m/>
    <x v="1"/>
    <x v="3"/>
    <s v="Control Biologico"/>
    <m/>
    <m/>
    <m/>
    <n v="7.0000000000000007E-2"/>
    <s v=""/>
    <s v=""/>
  </r>
  <r>
    <n v="368"/>
    <m/>
    <x v="30"/>
    <x v="133"/>
    <m/>
    <m/>
    <m/>
    <m/>
    <x v="1"/>
    <x v="3"/>
    <s v="Control Biologico"/>
    <m/>
    <n v="25000"/>
    <m/>
    <n v="0.47499999999999998"/>
    <s v=""/>
    <n v="11875"/>
  </r>
  <r>
    <n v="369"/>
    <m/>
    <x v="30"/>
    <x v="133"/>
    <s v="Externo"/>
    <s v="Banamares S.P.R."/>
    <s v="Banamares S.P.R."/>
    <m/>
    <x v="1"/>
    <x v="3"/>
    <s v="Control Biologico"/>
    <m/>
    <n v="42000"/>
    <m/>
    <n v="0.32"/>
    <s v=""/>
    <n v="13440"/>
  </r>
  <r>
    <n v="370"/>
    <m/>
    <x v="30"/>
    <x v="133"/>
    <s v="Externo"/>
    <s v="Yucatán"/>
    <s v="Yucatán"/>
    <m/>
    <x v="1"/>
    <x v="3"/>
    <s v="Control Biologico"/>
    <m/>
    <n v="42000"/>
    <m/>
    <n v="1"/>
    <s v=""/>
    <n v="42000"/>
  </r>
  <r>
    <n v="371"/>
    <s v="F-15697"/>
    <x v="31"/>
    <x v="134"/>
    <m/>
    <m/>
    <m/>
    <m/>
    <x v="1"/>
    <x v="7"/>
    <s v="Biofertilizantes"/>
    <m/>
    <n v="2"/>
    <m/>
    <n v="11550"/>
    <s v=""/>
    <n v="23100"/>
  </r>
  <r>
    <n v="372"/>
    <m/>
    <x v="31"/>
    <x v="134"/>
    <m/>
    <m/>
    <m/>
    <m/>
    <x v="1"/>
    <x v="6"/>
    <s v="Apicultura"/>
    <m/>
    <n v="82.5"/>
    <m/>
    <n v="30"/>
    <s v=""/>
    <n v="2475"/>
  </r>
  <r>
    <n v="373"/>
    <m/>
    <x v="31"/>
    <x v="134"/>
    <m/>
    <m/>
    <m/>
    <m/>
    <x v="1"/>
    <x v="3"/>
    <s v="Control Biologico"/>
    <m/>
    <n v="25000"/>
    <m/>
    <n v="0.35"/>
    <s v=""/>
    <n v="8750"/>
  </r>
  <r>
    <n v="374"/>
    <n v="655"/>
    <x v="31"/>
    <x v="135"/>
    <s v="Almacen"/>
    <s v="Marco Bentancourt"/>
    <s v="Marco Bentancourt"/>
    <s v="OC-CS-0792"/>
    <x v="1"/>
    <x v="5"/>
    <s v="Biorepelentes"/>
    <m/>
    <n v="240"/>
    <m/>
    <n v="200"/>
    <s v=""/>
    <n v="48000"/>
  </r>
  <r>
    <n v="375"/>
    <n v="656"/>
    <x v="31"/>
    <x v="135"/>
    <s v="Almacen"/>
    <s v="Marco Bentancourt"/>
    <s v="Marco Bentancourt"/>
    <s v="OC-CS-0793"/>
    <x v="1"/>
    <x v="2"/>
    <s v="Biorepelentes"/>
    <m/>
    <n v="299"/>
    <m/>
    <n v="600"/>
    <s v=""/>
    <n v="179400"/>
  </r>
  <r>
    <n v="376"/>
    <m/>
    <x v="31"/>
    <x v="136"/>
    <m/>
    <m/>
    <m/>
    <m/>
    <x v="0"/>
    <x v="1"/>
    <s v="Biofertilizantes"/>
    <n v="0.75"/>
    <m/>
    <n v="25000"/>
    <m/>
    <n v="18750"/>
    <s v=""/>
  </r>
  <r>
    <n v="377"/>
    <s v="F-15711"/>
    <x v="31"/>
    <x v="137"/>
    <s v="Zona_E"/>
    <s v="Alberto Sánchez"/>
    <s v="Coquimatlan A [Persa]"/>
    <m/>
    <x v="1"/>
    <x v="1"/>
    <s v="Biofertilizantes"/>
    <m/>
    <n v="1.2"/>
    <m/>
    <n v="35000"/>
    <s v=""/>
    <n v="42000"/>
  </r>
  <r>
    <n v="378"/>
    <m/>
    <x v="31"/>
    <x v="137"/>
    <s v="Externo"/>
    <s v="Agriorg Bananera"/>
    <s v="Agriorg Bananera"/>
    <m/>
    <x v="1"/>
    <x v="3"/>
    <s v="Control Biologico"/>
    <m/>
    <n v="42000"/>
    <m/>
    <n v="0.31"/>
    <s v=""/>
    <n v="13020"/>
  </r>
  <r>
    <n v="379"/>
    <m/>
    <x v="31"/>
    <x v="137"/>
    <m/>
    <m/>
    <m/>
    <m/>
    <x v="0"/>
    <x v="2"/>
    <s v="Biorepelentes"/>
    <n v="247.18544827008316"/>
    <m/>
    <n v="200"/>
    <m/>
    <n v="49437.089654016629"/>
    <s v=""/>
  </r>
  <r>
    <n v="380"/>
    <m/>
    <x v="31"/>
    <x v="138"/>
    <m/>
    <m/>
    <m/>
    <m/>
    <x v="0"/>
    <x v="7"/>
    <s v="Biofertilizantes"/>
    <n v="1.25"/>
    <m/>
    <n v="20000"/>
    <m/>
    <n v="25000"/>
    <s v=""/>
  </r>
  <r>
    <n v="381"/>
    <m/>
    <x v="31"/>
    <x v="138"/>
    <m/>
    <m/>
    <m/>
    <m/>
    <x v="0"/>
    <x v="3"/>
    <s v="Control Biologico"/>
    <n v="17000"/>
    <m/>
    <n v="1.097"/>
    <m/>
    <n v="18649"/>
    <s v=""/>
  </r>
  <r>
    <n v="382"/>
    <m/>
    <x v="32"/>
    <x v="139"/>
    <m/>
    <m/>
    <m/>
    <m/>
    <x v="0"/>
    <x v="11"/>
    <s v="Biorepelentes"/>
    <n v="222"/>
    <m/>
    <n v="20"/>
    <m/>
    <n v="4440"/>
    <s v=""/>
  </r>
  <r>
    <n v="383"/>
    <n v="657"/>
    <x v="32"/>
    <x v="139"/>
    <m/>
    <m/>
    <m/>
    <m/>
    <x v="1"/>
    <x v="11"/>
    <s v="Biorepelentes"/>
    <m/>
    <n v="265"/>
    <m/>
    <n v="20"/>
    <s v=""/>
    <n v="5300"/>
  </r>
  <r>
    <n v="384"/>
    <m/>
    <x v="32"/>
    <x v="139"/>
    <m/>
    <m/>
    <m/>
    <m/>
    <x v="0"/>
    <x v="3"/>
    <s v="Control Biologico"/>
    <n v="17000"/>
    <m/>
    <n v="1.367"/>
    <m/>
    <n v="23239"/>
    <s v=""/>
  </r>
  <r>
    <n v="385"/>
    <n v="658"/>
    <x v="32"/>
    <x v="140"/>
    <s v="Almacen"/>
    <s v="Marco Bentancourt"/>
    <s v="Marco Bentancourt"/>
    <s v="OC-CS-0804"/>
    <x v="1"/>
    <x v="0"/>
    <s v="Biofertilizantes"/>
    <m/>
    <n v="40"/>
    <m/>
    <n v="800"/>
    <s v=""/>
    <n v="32000"/>
  </r>
  <r>
    <n v="386"/>
    <m/>
    <x v="32"/>
    <x v="141"/>
    <s v="Control_Biologico"/>
    <s v="Luis Naranjo"/>
    <s v="Siembra"/>
    <m/>
    <x v="1"/>
    <x v="3"/>
    <s v="Control Biologico"/>
    <m/>
    <m/>
    <m/>
    <n v="7.0000000000000007E-2"/>
    <s v=""/>
    <s v=""/>
  </r>
  <r>
    <n v="387"/>
    <m/>
    <x v="32"/>
    <x v="141"/>
    <m/>
    <m/>
    <m/>
    <m/>
    <x v="1"/>
    <x v="3"/>
    <s v="Control Biologico"/>
    <m/>
    <n v="25000"/>
    <m/>
    <n v="1.0249999999999999"/>
    <s v=""/>
    <n v="25624.999999999996"/>
  </r>
  <r>
    <n v="388"/>
    <m/>
    <x v="32"/>
    <x v="142"/>
    <m/>
    <m/>
    <m/>
    <m/>
    <x v="1"/>
    <x v="6"/>
    <s v="Apicultura"/>
    <m/>
    <n v="82.5"/>
    <m/>
    <n v="15"/>
    <s v=""/>
    <n v="1237.5"/>
  </r>
  <r>
    <n v="389"/>
    <m/>
    <x v="32"/>
    <x v="143"/>
    <m/>
    <m/>
    <m/>
    <m/>
    <x v="0"/>
    <x v="1"/>
    <s v="Biofertilizantes"/>
    <n v="0.75"/>
    <m/>
    <n v="10000"/>
    <m/>
    <n v="7500"/>
    <s v=""/>
  </r>
  <r>
    <n v="390"/>
    <s v="F-15712"/>
    <x v="32"/>
    <x v="143"/>
    <s v="Zona_B"/>
    <s v="Alejandro Núñez"/>
    <s v="Pampas 1 [Mx]"/>
    <m/>
    <x v="1"/>
    <x v="1"/>
    <s v="Biofertilizantes"/>
    <m/>
    <n v="1.2"/>
    <m/>
    <n v="500"/>
    <s v=""/>
    <n v="600"/>
  </r>
  <r>
    <n v="391"/>
    <m/>
    <x v="33"/>
    <x v="144"/>
    <m/>
    <m/>
    <m/>
    <m/>
    <x v="0"/>
    <x v="3"/>
    <s v="Control Biologico"/>
    <n v="17000"/>
    <m/>
    <n v="0.90500000000000003"/>
    <m/>
    <n v="15385"/>
    <s v=""/>
  </r>
  <r>
    <n v="392"/>
    <m/>
    <x v="33"/>
    <x v="145"/>
    <m/>
    <m/>
    <m/>
    <m/>
    <x v="1"/>
    <x v="6"/>
    <s v="Apicultura"/>
    <m/>
    <n v="82.5"/>
    <m/>
    <n v="28"/>
    <s v=""/>
    <n v="2310"/>
  </r>
  <r>
    <n v="393"/>
    <m/>
    <x v="33"/>
    <x v="145"/>
    <m/>
    <m/>
    <m/>
    <m/>
    <x v="1"/>
    <x v="3"/>
    <s v="Control Biologico"/>
    <m/>
    <n v="25000"/>
    <m/>
    <n v="0.9"/>
    <s v=""/>
    <n v="22500"/>
  </r>
  <r>
    <n v="394"/>
    <m/>
    <x v="33"/>
    <x v="146"/>
    <m/>
    <m/>
    <m/>
    <m/>
    <x v="0"/>
    <x v="5"/>
    <s v="Biorepelentes"/>
    <n v="199.92359142534642"/>
    <m/>
    <n v="200"/>
    <m/>
    <n v="39984.718285069284"/>
    <s v=""/>
  </r>
  <r>
    <n v="395"/>
    <m/>
    <x v="33"/>
    <x v="146"/>
    <m/>
    <m/>
    <m/>
    <m/>
    <x v="0"/>
    <x v="2"/>
    <s v="Biorepelentes"/>
    <n v="247.18544827008316"/>
    <m/>
    <n v="200"/>
    <m/>
    <n v="49437.089654016629"/>
    <s v=""/>
  </r>
  <r>
    <n v="396"/>
    <s v="F-17059"/>
    <x v="33"/>
    <x v="147"/>
    <m/>
    <m/>
    <m/>
    <m/>
    <x v="0"/>
    <x v="0"/>
    <s v="Biofertilizantes"/>
    <m/>
    <m/>
    <m/>
    <n v="-1340"/>
    <s v=""/>
    <s v=""/>
  </r>
  <r>
    <n v="397"/>
    <n v="663"/>
    <x v="33"/>
    <x v="147"/>
    <s v="Externo"/>
    <s v="Veracruz"/>
    <s v="Veracruz"/>
    <m/>
    <x v="1"/>
    <x v="0"/>
    <s v="Biofertilizantes"/>
    <m/>
    <n v="80"/>
    <m/>
    <n v="1340"/>
    <s v=""/>
    <n v="107200"/>
  </r>
  <r>
    <n v="398"/>
    <m/>
    <x v="34"/>
    <x v="148"/>
    <m/>
    <m/>
    <m/>
    <m/>
    <x v="0"/>
    <x v="5"/>
    <s v="Biorepelentes"/>
    <n v="199.92359142534642"/>
    <m/>
    <n v="400"/>
    <m/>
    <n v="79969.436570138569"/>
    <s v=""/>
  </r>
  <r>
    <n v="399"/>
    <n v="664"/>
    <x v="34"/>
    <x v="148"/>
    <s v="Almacen"/>
    <s v="Marco Bentancourt"/>
    <s v="Marco Bentancourt"/>
    <s v="OC-CS-0800"/>
    <x v="1"/>
    <x v="2"/>
    <s v="Biorepelentes"/>
    <m/>
    <n v="299"/>
    <m/>
    <n v="400"/>
    <s v=""/>
    <n v="119600"/>
  </r>
  <r>
    <n v="400"/>
    <m/>
    <x v="34"/>
    <x v="149"/>
    <m/>
    <m/>
    <m/>
    <m/>
    <x v="0"/>
    <x v="2"/>
    <s v="Biorepelentes"/>
    <n v="247.18544827008316"/>
    <m/>
    <n v="400"/>
    <m/>
    <n v="98874.179308033257"/>
    <s v=""/>
  </r>
  <r>
    <n v="401"/>
    <m/>
    <x v="34"/>
    <x v="150"/>
    <m/>
    <m/>
    <m/>
    <m/>
    <x v="0"/>
    <x v="0"/>
    <s v="Biofertilizantes"/>
    <n v="27.769467619047621"/>
    <m/>
    <n v="2000"/>
    <m/>
    <n v="55538.93523809524"/>
    <s v=""/>
  </r>
  <r>
    <n v="402"/>
    <m/>
    <x v="34"/>
    <x v="150"/>
    <m/>
    <m/>
    <m/>
    <m/>
    <x v="0"/>
    <x v="3"/>
    <s v="Control Biologico"/>
    <n v="17000"/>
    <m/>
    <n v="0.63"/>
    <m/>
    <n v="10710"/>
    <s v=""/>
  </r>
  <r>
    <n v="403"/>
    <m/>
    <x v="34"/>
    <x v="150"/>
    <s v="Control_Biologico"/>
    <s v="Luis Naranjo"/>
    <s v="Siembra"/>
    <m/>
    <x v="1"/>
    <x v="3"/>
    <s v="Control Biologico"/>
    <m/>
    <m/>
    <m/>
    <n v="7.0000000000000007E-2"/>
    <s v=""/>
    <s v=""/>
  </r>
  <r>
    <n v="404"/>
    <m/>
    <x v="34"/>
    <x v="150"/>
    <m/>
    <m/>
    <m/>
    <m/>
    <x v="1"/>
    <x v="1"/>
    <s v="Biofertilizantes"/>
    <m/>
    <m/>
    <m/>
    <n v="750"/>
    <s v=""/>
    <s v=""/>
  </r>
  <r>
    <n v="405"/>
    <m/>
    <x v="34"/>
    <x v="151"/>
    <m/>
    <m/>
    <m/>
    <m/>
    <x v="1"/>
    <x v="0"/>
    <s v="Biofertilizantes"/>
    <m/>
    <m/>
    <m/>
    <n v="1340"/>
    <s v=""/>
    <s v=""/>
  </r>
  <r>
    <n v="406"/>
    <m/>
    <x v="34"/>
    <x v="151"/>
    <m/>
    <m/>
    <m/>
    <m/>
    <x v="1"/>
    <x v="3"/>
    <s v="Control Biologico"/>
    <m/>
    <n v="25000"/>
    <m/>
    <n v="0.3"/>
    <s v=""/>
    <n v="7500"/>
  </r>
  <r>
    <n v="407"/>
    <m/>
    <x v="34"/>
    <x v="152"/>
    <m/>
    <m/>
    <m/>
    <m/>
    <x v="1"/>
    <x v="6"/>
    <s v="Apicultura"/>
    <m/>
    <m/>
    <m/>
    <n v="5"/>
    <s v=""/>
    <s v=""/>
  </r>
  <r>
    <n v="408"/>
    <m/>
    <x v="34"/>
    <x v="152"/>
    <m/>
    <m/>
    <m/>
    <m/>
    <x v="1"/>
    <x v="6"/>
    <s v="Apicultura"/>
    <m/>
    <m/>
    <m/>
    <n v="1"/>
    <s v=""/>
    <s v=""/>
  </r>
  <r>
    <n v="409"/>
    <m/>
    <x v="34"/>
    <x v="153"/>
    <m/>
    <m/>
    <m/>
    <m/>
    <x v="0"/>
    <x v="7"/>
    <s v="Biofertilizantes"/>
    <n v="1.25"/>
    <m/>
    <n v="6000"/>
    <m/>
    <n v="7500"/>
    <s v=""/>
  </r>
  <r>
    <n v="410"/>
    <m/>
    <x v="34"/>
    <x v="153"/>
    <m/>
    <m/>
    <m/>
    <m/>
    <x v="0"/>
    <x v="1"/>
    <s v="Biofertilizantes"/>
    <n v="0.75"/>
    <m/>
    <n v="10000"/>
    <m/>
    <n v="7500"/>
    <s v=""/>
  </r>
  <r>
    <n v="411"/>
    <m/>
    <x v="34"/>
    <x v="153"/>
    <m/>
    <m/>
    <m/>
    <m/>
    <x v="0"/>
    <x v="8"/>
    <s v="Biofertilizantes"/>
    <n v="2.2000000000000002"/>
    <m/>
    <n v="3000"/>
    <m/>
    <n v="6600.0000000000009"/>
    <s v=""/>
  </r>
  <r>
    <n v="412"/>
    <n v="665"/>
    <x v="35"/>
    <x v="154"/>
    <s v="Almacen"/>
    <s v="Marco Bentancourt"/>
    <s v="Marco Bentancourt"/>
    <s v="OC-CS-0803"/>
    <x v="1"/>
    <x v="2"/>
    <s v="Biorepelentes"/>
    <m/>
    <n v="299"/>
    <m/>
    <n v="400"/>
    <s v=""/>
    <n v="119600"/>
  </r>
  <r>
    <n v="413"/>
    <s v="F-16903"/>
    <x v="35"/>
    <x v="155"/>
    <s v="Zona_E"/>
    <s v="Alberto Sánchez"/>
    <s v="Coquimatlan A [Persa]"/>
    <m/>
    <x v="1"/>
    <x v="1"/>
    <s v="Biofertilizantes"/>
    <m/>
    <n v="1.2"/>
    <m/>
    <n v="20000"/>
    <s v=""/>
    <n v="24000"/>
  </r>
  <r>
    <n v="414"/>
    <m/>
    <x v="35"/>
    <x v="155"/>
    <m/>
    <m/>
    <m/>
    <m/>
    <x v="1"/>
    <x v="3"/>
    <s v="Control Biologico"/>
    <m/>
    <n v="25000"/>
    <m/>
    <n v="0.65"/>
    <s v=""/>
    <n v="16250"/>
  </r>
  <r>
    <n v="415"/>
    <m/>
    <x v="35"/>
    <x v="156"/>
    <m/>
    <m/>
    <m/>
    <m/>
    <x v="1"/>
    <x v="6"/>
    <s v="Apicultura"/>
    <m/>
    <n v="82.5"/>
    <m/>
    <n v="36"/>
    <s v=""/>
    <n v="2970"/>
  </r>
  <r>
    <n v="416"/>
    <m/>
    <x v="35"/>
    <x v="157"/>
    <m/>
    <m/>
    <m/>
    <m/>
    <x v="0"/>
    <x v="3"/>
    <s v="Control Biologico"/>
    <n v="17000"/>
    <m/>
    <n v="0.38100000000000001"/>
    <m/>
    <n v="6477"/>
    <s v=""/>
  </r>
  <r>
    <n v="417"/>
    <n v="666"/>
    <x v="36"/>
    <x v="158"/>
    <s v="Almacen"/>
    <s v="Marco Bentancourt"/>
    <s v="Marco Bentancourt"/>
    <s v="OC-CS-0811"/>
    <x v="1"/>
    <x v="2"/>
    <s v="Biorepelentes"/>
    <m/>
    <n v="299"/>
    <m/>
    <n v="200"/>
    <s v=""/>
    <n v="59800"/>
  </r>
  <r>
    <n v="418"/>
    <m/>
    <x v="36"/>
    <x v="159"/>
    <m/>
    <m/>
    <m/>
    <m/>
    <x v="0"/>
    <x v="3"/>
    <s v="Control Biologico"/>
    <n v="17000"/>
    <m/>
    <n v="0.67800000000000005"/>
    <m/>
    <n v="11526"/>
    <s v=""/>
  </r>
  <r>
    <n v="419"/>
    <m/>
    <x v="36"/>
    <x v="159"/>
    <s v="Control_Biologico"/>
    <s v="Luis Naranjo"/>
    <s v="Siembra"/>
    <m/>
    <x v="1"/>
    <x v="3"/>
    <s v="Control Biologico"/>
    <m/>
    <m/>
    <m/>
    <n v="0.08"/>
    <s v=""/>
    <s v=""/>
  </r>
  <r>
    <n v="420"/>
    <m/>
    <x v="36"/>
    <x v="160"/>
    <m/>
    <m/>
    <m/>
    <m/>
    <x v="1"/>
    <x v="6"/>
    <s v="Apicultura"/>
    <m/>
    <n v="82.5"/>
    <m/>
    <n v="70"/>
    <s v=""/>
    <n v="5775"/>
  </r>
  <r>
    <n v="421"/>
    <m/>
    <x v="36"/>
    <x v="161"/>
    <m/>
    <m/>
    <m/>
    <m/>
    <x v="1"/>
    <x v="3"/>
    <s v="Control Biologico"/>
    <m/>
    <n v="25000"/>
    <m/>
    <n v="0.6"/>
    <s v=""/>
    <n v="15000"/>
  </r>
  <r>
    <n v="422"/>
    <m/>
    <x v="36"/>
    <x v="162"/>
    <m/>
    <m/>
    <m/>
    <m/>
    <x v="0"/>
    <x v="1"/>
    <s v="Biofertilizantes"/>
    <n v="0.75"/>
    <m/>
    <n v="10000"/>
    <m/>
    <n v="7500"/>
    <s v=""/>
  </r>
  <r>
    <n v="423"/>
    <m/>
    <x v="37"/>
    <x v="163"/>
    <m/>
    <m/>
    <m/>
    <m/>
    <x v="1"/>
    <x v="6"/>
    <s v="Apicultura"/>
    <m/>
    <n v="82.5"/>
    <m/>
    <n v="1"/>
    <s v=""/>
    <n v="82.5"/>
  </r>
  <r>
    <n v="424"/>
    <n v="669"/>
    <x v="37"/>
    <x v="163"/>
    <s v="Zona_V"/>
    <s v="Vivero"/>
    <s v="Vivero"/>
    <s v="Validaciones"/>
    <x v="1"/>
    <x v="0"/>
    <s v="Biofertilizantes"/>
    <m/>
    <n v="40"/>
    <m/>
    <n v="120"/>
    <s v=""/>
    <n v="4800"/>
  </r>
  <r>
    <n v="425"/>
    <m/>
    <x v="37"/>
    <x v="163"/>
    <m/>
    <m/>
    <m/>
    <m/>
    <x v="0"/>
    <x v="2"/>
    <s v="Biorepelentes"/>
    <n v="247.18544827008316"/>
    <m/>
    <n v="600"/>
    <m/>
    <n v="148311.26896204989"/>
    <s v=""/>
  </r>
  <r>
    <n v="426"/>
    <n v="667"/>
    <x v="37"/>
    <x v="164"/>
    <s v="Almacen"/>
    <s v="Marco Bentancourt"/>
    <s v="Marco Bentancourt"/>
    <s v="OC-CS-0816"/>
    <x v="1"/>
    <x v="5"/>
    <s v="Biorepelentes"/>
    <m/>
    <n v="240"/>
    <m/>
    <n v="400"/>
    <s v=""/>
    <n v="96000"/>
  </r>
  <r>
    <n v="427"/>
    <m/>
    <x v="37"/>
    <x v="165"/>
    <m/>
    <m/>
    <m/>
    <m/>
    <x v="0"/>
    <x v="10"/>
    <s v="Biorepelentes"/>
    <n v="82.584879220000005"/>
    <m/>
    <n v="600"/>
    <m/>
    <n v="49550.927532000002"/>
    <s v=""/>
  </r>
  <r>
    <n v="428"/>
    <m/>
    <x v="37"/>
    <x v="165"/>
    <m/>
    <m/>
    <m/>
    <m/>
    <x v="0"/>
    <x v="3"/>
    <s v="Control Biologico"/>
    <n v="17000"/>
    <m/>
    <n v="0.70699999999999996"/>
    <m/>
    <n v="12019"/>
    <s v=""/>
  </r>
  <r>
    <n v="429"/>
    <s v="F-16905, F-16906"/>
    <x v="37"/>
    <x v="166"/>
    <m/>
    <m/>
    <m/>
    <m/>
    <x v="1"/>
    <x v="1"/>
    <s v="Biofertilizantes"/>
    <m/>
    <n v="1.2"/>
    <m/>
    <n v="10300"/>
    <s v=""/>
    <n v="12360"/>
  </r>
  <r>
    <n v="430"/>
    <s v="BR-668,670,671"/>
    <x v="37"/>
    <x v="167"/>
    <s v="Almacen"/>
    <s v="Marco Bentancourt"/>
    <s v="Marco Bentancourt"/>
    <s v="OC-CS-0812;0815;0817"/>
    <x v="1"/>
    <x v="2"/>
    <s v="Biorepelentes"/>
    <m/>
    <n v="299"/>
    <m/>
    <n v="600"/>
    <s v=""/>
    <n v="179400"/>
  </r>
  <r>
    <n v="431"/>
    <m/>
    <x v="37"/>
    <x v="168"/>
    <m/>
    <m/>
    <m/>
    <m/>
    <x v="1"/>
    <x v="3"/>
    <s v="Control Biologico"/>
    <m/>
    <n v="25000"/>
    <m/>
    <n v="0.65"/>
    <s v=""/>
    <n v="16250"/>
  </r>
  <r>
    <n v="432"/>
    <s v="F-16907,F-16909,F-16910"/>
    <x v="38"/>
    <x v="169"/>
    <s v="Zona_A"/>
    <s v="Roberto Padilla"/>
    <m/>
    <m/>
    <x v="1"/>
    <x v="7"/>
    <s v="Biofertilizantes"/>
    <m/>
    <n v="2"/>
    <m/>
    <n v="32570"/>
    <s v=""/>
    <n v="65140"/>
  </r>
  <r>
    <n v="433"/>
    <m/>
    <x v="38"/>
    <x v="170"/>
    <m/>
    <m/>
    <m/>
    <m/>
    <x v="1"/>
    <x v="6"/>
    <s v="Apicultura"/>
    <m/>
    <m/>
    <m/>
    <n v="3.5"/>
    <s v=""/>
    <s v=""/>
  </r>
  <r>
    <n v="434"/>
    <m/>
    <x v="38"/>
    <x v="171"/>
    <m/>
    <m/>
    <m/>
    <m/>
    <x v="0"/>
    <x v="2"/>
    <s v="Biorepelentes"/>
    <n v="247.18544827008316"/>
    <m/>
    <n v="400"/>
    <m/>
    <n v="98874.179308033257"/>
    <s v=""/>
  </r>
  <r>
    <n v="435"/>
    <m/>
    <x v="38"/>
    <x v="171"/>
    <m/>
    <m/>
    <m/>
    <m/>
    <x v="0"/>
    <x v="3"/>
    <s v="Control Biologico"/>
    <n v="17000"/>
    <m/>
    <n v="0.97099999999999997"/>
    <m/>
    <n v="16507"/>
    <s v=""/>
  </r>
  <r>
    <n v="436"/>
    <m/>
    <x v="38"/>
    <x v="171"/>
    <s v="Control_Biologico"/>
    <s v="Luis Naranjo"/>
    <s v="Siembra"/>
    <m/>
    <x v="1"/>
    <x v="3"/>
    <s v="Control Biologico"/>
    <m/>
    <m/>
    <m/>
    <n v="0.11"/>
    <s v=""/>
    <s v=""/>
  </r>
  <r>
    <n v="437"/>
    <m/>
    <x v="38"/>
    <x v="172"/>
    <m/>
    <m/>
    <m/>
    <m/>
    <x v="1"/>
    <x v="3"/>
    <s v="Control Biologico"/>
    <m/>
    <n v="25000"/>
    <m/>
    <n v="0.85"/>
    <s v=""/>
    <n v="21250"/>
  </r>
  <r>
    <n v="438"/>
    <s v="F-16912, F-16913, F-16915"/>
    <x v="38"/>
    <x v="173"/>
    <s v="Zona_F"/>
    <s v="Noé Rosales"/>
    <s v="Verano 2 [Persa]"/>
    <m/>
    <x v="1"/>
    <x v="1"/>
    <s v="Biofertilizantes"/>
    <m/>
    <n v="1.2"/>
    <m/>
    <n v="10100"/>
    <s v=""/>
    <n v="12120"/>
  </r>
  <r>
    <n v="439"/>
    <s v="F16914"/>
    <x v="38"/>
    <x v="173"/>
    <s v="Externo"/>
    <m/>
    <m/>
    <m/>
    <x v="1"/>
    <x v="8"/>
    <s v="Biofertilizantes"/>
    <m/>
    <m/>
    <m/>
    <n v="800"/>
    <s v=""/>
    <s v=""/>
  </r>
  <r>
    <n v="440"/>
    <m/>
    <x v="38"/>
    <x v="174"/>
    <m/>
    <m/>
    <m/>
    <m/>
    <x v="0"/>
    <x v="1"/>
    <s v="Biofertilizantes"/>
    <n v="0.75"/>
    <m/>
    <n v="10000"/>
    <m/>
    <n v="7500"/>
    <s v=""/>
  </r>
  <r>
    <n v="441"/>
    <m/>
    <x v="39"/>
    <x v="175"/>
    <m/>
    <m/>
    <m/>
    <m/>
    <x v="0"/>
    <x v="7"/>
    <s v="Biofertilizantes"/>
    <n v="1.25"/>
    <m/>
    <n v="30000"/>
    <m/>
    <n v="37500"/>
    <s v=""/>
  </r>
  <r>
    <n v="442"/>
    <s v="F11816, F-11817"/>
    <x v="39"/>
    <x v="175"/>
    <s v="Zona_A"/>
    <s v="Roberto Padilla"/>
    <m/>
    <m/>
    <x v="1"/>
    <x v="7"/>
    <s v="Biofertilizantes"/>
    <m/>
    <n v="2"/>
    <m/>
    <n v="22860"/>
    <s v=""/>
    <n v="45720"/>
  </r>
  <r>
    <n v="443"/>
    <m/>
    <x v="39"/>
    <x v="176"/>
    <m/>
    <m/>
    <m/>
    <m/>
    <x v="0"/>
    <x v="3"/>
    <s v="Control Biologico"/>
    <n v="17000"/>
    <m/>
    <n v="0.879"/>
    <m/>
    <n v="14943"/>
    <s v=""/>
  </r>
  <r>
    <n v="444"/>
    <m/>
    <x v="39"/>
    <x v="177"/>
    <m/>
    <m/>
    <m/>
    <m/>
    <x v="1"/>
    <x v="3"/>
    <s v="Control Biologico"/>
    <m/>
    <n v="25000"/>
    <m/>
    <n v="1"/>
    <s v=""/>
    <n v="25000"/>
  </r>
  <r>
    <n v="445"/>
    <n v="672"/>
    <x v="39"/>
    <x v="178"/>
    <s v="Almacen"/>
    <s v="Marco Bentancourt"/>
    <s v="Marco Bentancourt"/>
    <s v="OC-CS-0837"/>
    <x v="1"/>
    <x v="0"/>
    <s v="Biofertilizantes"/>
    <m/>
    <n v="40"/>
    <m/>
    <n v="1200"/>
    <s v=""/>
    <n v="48000"/>
  </r>
  <r>
    <n v="446"/>
    <n v="674"/>
    <x v="39"/>
    <x v="178"/>
    <s v="Almacen"/>
    <s v="Marco Bentancourt"/>
    <s v="Marco Bentancourt"/>
    <s v="OC-CS-0835"/>
    <x v="1"/>
    <x v="5"/>
    <s v="Biorepelentes"/>
    <m/>
    <n v="240"/>
    <m/>
    <n v="200"/>
    <s v=""/>
    <n v="48000"/>
  </r>
  <r>
    <n v="447"/>
    <n v="673"/>
    <x v="39"/>
    <x v="178"/>
    <s v="Almacen"/>
    <s v="Marco Bentancourt"/>
    <s v="Marco Bentancourt"/>
    <s v="OC-CS-0836"/>
    <x v="1"/>
    <x v="2"/>
    <s v="Biorepelentes"/>
    <m/>
    <n v="299"/>
    <m/>
    <n v="400"/>
    <s v=""/>
    <n v="119600"/>
  </r>
  <r>
    <n v="448"/>
    <m/>
    <x v="39"/>
    <x v="178"/>
    <m/>
    <m/>
    <m/>
    <m/>
    <x v="0"/>
    <x v="5"/>
    <s v="Biorepelentes"/>
    <n v="199.92359142534642"/>
    <m/>
    <n v="200"/>
    <m/>
    <n v="39984.718285069284"/>
    <s v=""/>
  </r>
  <r>
    <n v="449"/>
    <n v="675"/>
    <x v="39"/>
    <x v="178"/>
    <s v="Almacen"/>
    <s v="Marco Bentancourt"/>
    <s v="Marco Bentancourt"/>
    <m/>
    <x v="1"/>
    <x v="10"/>
    <s v="Biorepelentes"/>
    <m/>
    <m/>
    <m/>
    <n v="120"/>
    <s v=""/>
    <s v=""/>
  </r>
  <r>
    <n v="450"/>
    <m/>
    <x v="39"/>
    <x v="178"/>
    <m/>
    <m/>
    <m/>
    <m/>
    <x v="1"/>
    <x v="6"/>
    <s v="Apicultura"/>
    <m/>
    <m/>
    <m/>
    <n v="14"/>
    <s v=""/>
    <s v=""/>
  </r>
  <r>
    <n v="451"/>
    <m/>
    <x v="39"/>
    <x v="179"/>
    <m/>
    <m/>
    <m/>
    <m/>
    <x v="0"/>
    <x v="1"/>
    <s v="Biofertilizantes"/>
    <n v="0.75"/>
    <m/>
    <n v="10000"/>
    <m/>
    <n v="7500"/>
    <s v=""/>
  </r>
  <r>
    <n v="452"/>
    <m/>
    <x v="40"/>
    <x v="180"/>
    <m/>
    <m/>
    <m/>
    <m/>
    <x v="0"/>
    <x v="5"/>
    <s v="Biorepelentes"/>
    <n v="199.92359142534642"/>
    <m/>
    <n v="400"/>
    <m/>
    <n v="79969.436570138569"/>
    <s v=""/>
  </r>
  <r>
    <n v="453"/>
    <m/>
    <x v="40"/>
    <x v="181"/>
    <m/>
    <m/>
    <m/>
    <m/>
    <x v="0"/>
    <x v="2"/>
    <s v="Biorepelentes"/>
    <n v="247.18544827008316"/>
    <m/>
    <n v="600"/>
    <m/>
    <n v="148311.26896204989"/>
    <s v=""/>
  </r>
  <r>
    <n v="454"/>
    <m/>
    <x v="40"/>
    <x v="182"/>
    <m/>
    <m/>
    <m/>
    <m/>
    <x v="1"/>
    <x v="6"/>
    <s v="Apicultura"/>
    <m/>
    <m/>
    <m/>
    <n v="52"/>
    <s v=""/>
    <s v=""/>
  </r>
  <r>
    <n v="455"/>
    <n v="678"/>
    <x v="40"/>
    <x v="182"/>
    <s v="Zona_V"/>
    <s v="Vivero"/>
    <s v="Vivero"/>
    <s v="Validaciones"/>
    <x v="1"/>
    <x v="0"/>
    <s v="Biofertilizantes"/>
    <m/>
    <n v="40"/>
    <m/>
    <n v="20"/>
    <s v=""/>
    <n v="800"/>
  </r>
  <r>
    <n v="456"/>
    <m/>
    <x v="40"/>
    <x v="182"/>
    <m/>
    <m/>
    <m/>
    <m/>
    <x v="0"/>
    <x v="3"/>
    <s v="Control Biologico"/>
    <n v="17000"/>
    <m/>
    <n v="1.1160000000000001"/>
    <m/>
    <n v="18972"/>
    <s v=""/>
  </r>
  <r>
    <n v="457"/>
    <m/>
    <x v="40"/>
    <x v="182"/>
    <s v="Control_Biologico"/>
    <s v="Luis Naranjo"/>
    <s v="Siembra"/>
    <m/>
    <x v="1"/>
    <x v="3"/>
    <s v="Control Biologico"/>
    <m/>
    <m/>
    <m/>
    <n v="0.11"/>
    <s v=""/>
    <s v=""/>
  </r>
  <r>
    <n v="458"/>
    <s v="F-16918"/>
    <x v="40"/>
    <x v="183"/>
    <m/>
    <m/>
    <m/>
    <m/>
    <x v="1"/>
    <x v="1"/>
    <s v="Biofertilizantes"/>
    <m/>
    <m/>
    <m/>
    <n v="80"/>
    <s v=""/>
    <s v=""/>
  </r>
  <r>
    <n v="459"/>
    <m/>
    <x v="40"/>
    <x v="183"/>
    <m/>
    <m/>
    <m/>
    <m/>
    <x v="1"/>
    <x v="3"/>
    <s v="Control Biologico"/>
    <m/>
    <n v="25000"/>
    <m/>
    <n v="1"/>
    <s v=""/>
    <n v="25000"/>
  </r>
  <r>
    <n v="460"/>
    <n v="677"/>
    <x v="40"/>
    <x v="184"/>
    <s v="Almacen"/>
    <s v="Marco Bentancourt"/>
    <s v="Marco Bentancourt"/>
    <s v="OC-CS-0846"/>
    <x v="1"/>
    <x v="5"/>
    <s v="Biorepelentes"/>
    <m/>
    <n v="240"/>
    <m/>
    <n v="400"/>
    <s v=""/>
    <n v="96000"/>
  </r>
  <r>
    <n v="461"/>
    <n v="676"/>
    <x v="40"/>
    <x v="184"/>
    <s v="Almacen"/>
    <s v="Marco Bentancourt"/>
    <s v="Marco Bentancourt"/>
    <s v="OC-CS-0845"/>
    <x v="1"/>
    <x v="2"/>
    <s v="Biorepelentes"/>
    <m/>
    <n v="299"/>
    <m/>
    <n v="400"/>
    <s v=""/>
    <n v="119600"/>
  </r>
  <r>
    <n v="462"/>
    <m/>
    <x v="41"/>
    <x v="185"/>
    <m/>
    <m/>
    <m/>
    <m/>
    <x v="1"/>
    <x v="6"/>
    <s v="Apicultura"/>
    <m/>
    <n v="82.5"/>
    <m/>
    <n v="50"/>
    <s v=""/>
    <n v="4125"/>
  </r>
  <r>
    <n v="463"/>
    <m/>
    <x v="41"/>
    <x v="186"/>
    <m/>
    <m/>
    <m/>
    <m/>
    <x v="1"/>
    <x v="6"/>
    <s v="Apicultura"/>
    <m/>
    <n v="82.5"/>
    <m/>
    <n v="115"/>
    <s v=""/>
    <n v="9487.5"/>
  </r>
  <r>
    <n v="464"/>
    <m/>
    <x v="41"/>
    <x v="186"/>
    <m/>
    <m/>
    <m/>
    <m/>
    <x v="1"/>
    <x v="3"/>
    <s v="Control Biologico"/>
    <m/>
    <n v="25000"/>
    <m/>
    <n v="1.03"/>
    <s v=""/>
    <n v="25750"/>
  </r>
  <r>
    <n v="465"/>
    <m/>
    <x v="41"/>
    <x v="187"/>
    <m/>
    <m/>
    <m/>
    <m/>
    <x v="0"/>
    <x v="3"/>
    <s v="Control Biologico"/>
    <n v="17000"/>
    <m/>
    <n v="0.77"/>
    <m/>
    <n v="13090"/>
    <s v=""/>
  </r>
  <r>
    <n v="466"/>
    <m/>
    <x v="42"/>
    <x v="188"/>
    <m/>
    <m/>
    <m/>
    <m/>
    <x v="1"/>
    <x v="6"/>
    <s v="Apicultura"/>
    <m/>
    <n v="82.5"/>
    <m/>
    <n v="179.5"/>
    <s v=""/>
    <n v="14808.75"/>
  </r>
  <r>
    <n v="467"/>
    <m/>
    <x v="42"/>
    <x v="189"/>
    <m/>
    <m/>
    <m/>
    <m/>
    <x v="0"/>
    <x v="7"/>
    <s v="Biofertilizantes"/>
    <n v="1.25"/>
    <m/>
    <n v="8000"/>
    <m/>
    <n v="10000"/>
    <s v=""/>
  </r>
  <r>
    <n v="468"/>
    <s v="F-15723, F-16920, F16921,"/>
    <x v="42"/>
    <x v="189"/>
    <m/>
    <m/>
    <m/>
    <m/>
    <x v="1"/>
    <x v="1"/>
    <s v="Biofertilizantes"/>
    <m/>
    <n v="1.2"/>
    <m/>
    <n v="15800"/>
    <s v=""/>
    <n v="18960"/>
  </r>
  <r>
    <n v="469"/>
    <m/>
    <x v="42"/>
    <x v="189"/>
    <m/>
    <m/>
    <m/>
    <m/>
    <x v="0"/>
    <x v="8"/>
    <s v="Biofertilizantes"/>
    <n v="2.2000000000000002"/>
    <m/>
    <n v="4000"/>
    <m/>
    <n v="8800"/>
    <s v=""/>
  </r>
  <r>
    <n v="470"/>
    <m/>
    <x v="42"/>
    <x v="189"/>
    <m/>
    <m/>
    <m/>
    <m/>
    <x v="0"/>
    <x v="3"/>
    <s v="Control Biologico"/>
    <n v="17000"/>
    <m/>
    <n v="1.159"/>
    <m/>
    <n v="19703"/>
    <s v=""/>
  </r>
  <r>
    <n v="471"/>
    <m/>
    <x v="42"/>
    <x v="189"/>
    <s v="Control_Biologico"/>
    <s v="Luis Naranjo"/>
    <s v="Siembra"/>
    <m/>
    <x v="1"/>
    <x v="3"/>
    <s v="Control Biologico"/>
    <m/>
    <m/>
    <m/>
    <n v="0.11"/>
    <s v=""/>
    <s v=""/>
  </r>
  <r>
    <n v="472"/>
    <s v="F-16922"/>
    <x v="42"/>
    <x v="190"/>
    <m/>
    <m/>
    <m/>
    <m/>
    <x v="1"/>
    <x v="7"/>
    <s v="Biofertilizantes"/>
    <m/>
    <n v="2"/>
    <m/>
    <n v="11830"/>
    <s v=""/>
    <n v="23660"/>
  </r>
  <r>
    <n v="473"/>
    <s v="F16923"/>
    <x v="42"/>
    <x v="190"/>
    <m/>
    <m/>
    <m/>
    <m/>
    <x v="1"/>
    <x v="8"/>
    <s v="Biofertilizantes"/>
    <m/>
    <n v="3.5"/>
    <m/>
    <n v="12320"/>
    <s v=""/>
    <n v="43120"/>
  </r>
  <r>
    <n v="474"/>
    <m/>
    <x v="42"/>
    <x v="191"/>
    <m/>
    <m/>
    <m/>
    <m/>
    <x v="0"/>
    <x v="2"/>
    <s v="Biorepelentes"/>
    <n v="247.18544827008316"/>
    <m/>
    <n v="200"/>
    <m/>
    <n v="49437.089654016629"/>
    <s v=""/>
  </r>
  <r>
    <n v="475"/>
    <m/>
    <x v="42"/>
    <x v="191"/>
    <m/>
    <m/>
    <m/>
    <m/>
    <x v="1"/>
    <x v="3"/>
    <s v="Control Biologico"/>
    <m/>
    <n v="25000"/>
    <m/>
    <n v="1.2"/>
    <s v=""/>
    <n v="30000"/>
  </r>
  <r>
    <n v="476"/>
    <m/>
    <x v="43"/>
    <x v="192"/>
    <m/>
    <m/>
    <m/>
    <m/>
    <x v="1"/>
    <x v="6"/>
    <s v="Apicultura"/>
    <m/>
    <m/>
    <m/>
    <n v="1"/>
    <s v=""/>
    <s v=""/>
  </r>
  <r>
    <n v="477"/>
    <m/>
    <x v="43"/>
    <x v="192"/>
    <m/>
    <m/>
    <m/>
    <m/>
    <x v="1"/>
    <x v="6"/>
    <s v="Apicultura"/>
    <m/>
    <n v="82.5"/>
    <m/>
    <n v="100"/>
    <s v=""/>
    <n v="8250"/>
  </r>
  <r>
    <n v="478"/>
    <m/>
    <x v="43"/>
    <x v="193"/>
    <m/>
    <m/>
    <m/>
    <m/>
    <x v="1"/>
    <x v="3"/>
    <s v="Control Biologico"/>
    <m/>
    <n v="25000"/>
    <m/>
    <n v="0.3"/>
    <s v=""/>
    <n v="7500"/>
  </r>
  <r>
    <n v="479"/>
    <m/>
    <x v="43"/>
    <x v="194"/>
    <m/>
    <m/>
    <m/>
    <m/>
    <x v="1"/>
    <x v="6"/>
    <s v="Apicultura"/>
    <m/>
    <n v="82.5"/>
    <m/>
    <n v="100"/>
    <s v=""/>
    <n v="8250"/>
  </r>
  <r>
    <n v="480"/>
    <m/>
    <x v="43"/>
    <x v="194"/>
    <m/>
    <m/>
    <m/>
    <m/>
    <x v="0"/>
    <x v="3"/>
    <s v="Control Biologico"/>
    <n v="17000"/>
    <m/>
    <n v="0.75900000000000001"/>
    <m/>
    <n v="12903"/>
    <s v=""/>
  </r>
  <r>
    <n v="481"/>
    <m/>
    <x v="44"/>
    <x v="195"/>
    <m/>
    <m/>
    <m/>
    <m/>
    <x v="0"/>
    <x v="7"/>
    <s v="Biofertilizantes"/>
    <n v="1.25"/>
    <m/>
    <n v="165000"/>
    <m/>
    <n v="206250"/>
    <s v=""/>
  </r>
  <r>
    <n v="482"/>
    <m/>
    <x v="44"/>
    <x v="195"/>
    <m/>
    <m/>
    <m/>
    <m/>
    <x v="0"/>
    <x v="8"/>
    <s v="Biofertilizantes"/>
    <n v="2.2000000000000002"/>
    <m/>
    <n v="19000"/>
    <m/>
    <n v="41800"/>
    <s v=""/>
  </r>
  <r>
    <n v="483"/>
    <m/>
    <x v="44"/>
    <x v="195"/>
    <m/>
    <m/>
    <m/>
    <m/>
    <x v="1"/>
    <x v="6"/>
    <s v="Apicultura"/>
    <m/>
    <n v="82.5"/>
    <m/>
    <n v="400"/>
    <s v=""/>
    <n v="33000"/>
  </r>
  <r>
    <n v="484"/>
    <m/>
    <x v="44"/>
    <x v="195"/>
    <m/>
    <m/>
    <m/>
    <m/>
    <x v="1"/>
    <x v="6"/>
    <s v="Apicultura"/>
    <m/>
    <m/>
    <m/>
    <n v="703"/>
    <s v=""/>
    <s v=""/>
  </r>
  <r>
    <n v="485"/>
    <s v="F-16926,F-16927,F-16929"/>
    <x v="44"/>
    <x v="196"/>
    <m/>
    <m/>
    <m/>
    <m/>
    <x v="1"/>
    <x v="7"/>
    <s v="Biofertilizantes"/>
    <m/>
    <n v="2"/>
    <m/>
    <n v="27400"/>
    <s v=""/>
    <n v="54800"/>
  </r>
  <r>
    <n v="486"/>
    <m/>
    <x v="44"/>
    <x v="196"/>
    <s v="Control_Biologico"/>
    <s v="Luis Naranjo"/>
    <s v="Siembra"/>
    <m/>
    <x v="1"/>
    <x v="3"/>
    <s v="Control Biologico"/>
    <m/>
    <m/>
    <m/>
    <n v="0.11"/>
    <s v=""/>
    <s v=""/>
  </r>
  <r>
    <n v="487"/>
    <m/>
    <x v="44"/>
    <x v="197"/>
    <m/>
    <m/>
    <m/>
    <m/>
    <x v="1"/>
    <x v="3"/>
    <s v="Control Biologico"/>
    <m/>
    <n v="25000"/>
    <m/>
    <n v="0.3"/>
    <s v=""/>
    <n v="7500"/>
  </r>
  <r>
    <n v="488"/>
    <n v="679"/>
    <x v="44"/>
    <x v="198"/>
    <s v="Almacen"/>
    <s v="Marco Bentancourt"/>
    <s v="Marco Bentancourt"/>
    <s v="OC-CS-0860"/>
    <x v="1"/>
    <x v="0"/>
    <s v="Biofertilizantes"/>
    <m/>
    <n v="40"/>
    <m/>
    <n v="440"/>
    <s v=""/>
    <n v="17600"/>
  </r>
  <r>
    <n v="489"/>
    <m/>
    <x v="44"/>
    <x v="198"/>
    <m/>
    <m/>
    <m/>
    <m/>
    <x v="0"/>
    <x v="3"/>
    <s v="Control Biologico"/>
    <n v="17000"/>
    <m/>
    <n v="1.1539999999999999"/>
    <m/>
    <n v="19618"/>
    <s v=""/>
  </r>
  <r>
    <n v="490"/>
    <m/>
    <x v="44"/>
    <x v="199"/>
    <m/>
    <m/>
    <m/>
    <m/>
    <x v="0"/>
    <x v="1"/>
    <s v="Biofertilizantes"/>
    <n v="0.75"/>
    <m/>
    <n v="10000"/>
    <m/>
    <n v="7500"/>
    <s v=""/>
  </r>
  <r>
    <n v="491"/>
    <m/>
    <x v="45"/>
    <x v="200"/>
    <m/>
    <m/>
    <m/>
    <m/>
    <x v="1"/>
    <x v="3"/>
    <s v="Control Biologico"/>
    <m/>
    <n v="25000"/>
    <m/>
    <n v="0.6"/>
    <s v=""/>
    <n v="15000"/>
  </r>
  <r>
    <n v="492"/>
    <m/>
    <x v="45"/>
    <x v="201"/>
    <m/>
    <m/>
    <m/>
    <m/>
    <x v="0"/>
    <x v="6"/>
    <s v="Apicultura"/>
    <n v="287.6268905420971"/>
    <m/>
    <n v="154.63999999999999"/>
    <m/>
    <n v="44478.622353429892"/>
    <s v=""/>
  </r>
  <r>
    <n v="493"/>
    <m/>
    <x v="45"/>
    <x v="201"/>
    <m/>
    <m/>
    <m/>
    <m/>
    <x v="0"/>
    <x v="0"/>
    <s v="Biofertilizantes"/>
    <n v="27.769467619047621"/>
    <m/>
    <n v="6000"/>
    <m/>
    <n v="166616.80571428573"/>
    <s v=""/>
  </r>
  <r>
    <n v="494"/>
    <m/>
    <x v="45"/>
    <x v="201"/>
    <m/>
    <m/>
    <m/>
    <m/>
    <x v="0"/>
    <x v="5"/>
    <s v="Biorepelentes"/>
    <n v="199.92359142534642"/>
    <m/>
    <n v="200"/>
    <m/>
    <n v="39984.718285069284"/>
    <s v=""/>
  </r>
  <r>
    <n v="495"/>
    <m/>
    <x v="45"/>
    <x v="201"/>
    <m/>
    <m/>
    <m/>
    <m/>
    <x v="0"/>
    <x v="3"/>
    <s v="Control Biologico"/>
    <n v="17000"/>
    <m/>
    <n v="1.3109999999999999"/>
    <m/>
    <n v="22287"/>
    <s v=""/>
  </r>
  <r>
    <n v="496"/>
    <n v="680"/>
    <x v="45"/>
    <x v="202"/>
    <s v="Zona_V"/>
    <s v="Vivero"/>
    <s v="Vivero"/>
    <s v="Validaciones"/>
    <x v="1"/>
    <x v="0"/>
    <s v="Biofertilizantes"/>
    <m/>
    <m/>
    <m/>
    <m/>
    <s v=""/>
    <s v=""/>
  </r>
  <r>
    <n v="497"/>
    <s v="F-16930, F-16931"/>
    <x v="46"/>
    <x v="203"/>
    <m/>
    <m/>
    <m/>
    <m/>
    <x v="1"/>
    <x v="0"/>
    <s v="Biofertilizantes"/>
    <m/>
    <n v="40"/>
    <m/>
    <n v="40"/>
    <s v=""/>
    <n v="1600"/>
  </r>
  <r>
    <n v="498"/>
    <s v="F-16930"/>
    <x v="46"/>
    <x v="203"/>
    <m/>
    <m/>
    <m/>
    <m/>
    <x v="1"/>
    <x v="1"/>
    <s v="Biofertilizantes"/>
    <m/>
    <m/>
    <m/>
    <n v="20"/>
    <s v=""/>
    <s v=""/>
  </r>
  <r>
    <n v="499"/>
    <s v="F16930"/>
    <x v="46"/>
    <x v="203"/>
    <m/>
    <m/>
    <m/>
    <m/>
    <x v="1"/>
    <x v="8"/>
    <s v="Biofertilizantes"/>
    <m/>
    <m/>
    <m/>
    <n v="40"/>
    <s v=""/>
    <s v=""/>
  </r>
  <r>
    <n v="500"/>
    <n v="683"/>
    <x v="46"/>
    <x v="203"/>
    <s v="Externo"/>
    <s v="Yucatán"/>
    <s v="Yucatán"/>
    <m/>
    <x v="1"/>
    <x v="5"/>
    <s v="Biorepelentes"/>
    <m/>
    <n v="350"/>
    <m/>
    <n v="100"/>
    <s v=""/>
    <n v="35000"/>
  </r>
  <r>
    <n v="501"/>
    <n v="682"/>
    <x v="46"/>
    <x v="203"/>
    <s v="Externo"/>
    <s v="Yucatán"/>
    <s v="Yucatán"/>
    <m/>
    <x v="1"/>
    <x v="2"/>
    <s v="Biorepelentes"/>
    <m/>
    <n v="350"/>
    <m/>
    <n v="100"/>
    <s v=""/>
    <n v="35000"/>
  </r>
  <r>
    <n v="502"/>
    <n v="681"/>
    <x v="46"/>
    <x v="203"/>
    <s v="Externo"/>
    <s v="Yucatán"/>
    <s v="Yucatán"/>
    <m/>
    <x v="1"/>
    <x v="10"/>
    <s v="Biorepelentes"/>
    <m/>
    <n v="145"/>
    <m/>
    <n v="100"/>
    <s v=""/>
    <n v="14500"/>
  </r>
  <r>
    <n v="503"/>
    <n v="684"/>
    <x v="46"/>
    <x v="204"/>
    <s v="Externo"/>
    <s v="Yucatán"/>
    <s v="Yucatán"/>
    <m/>
    <x v="1"/>
    <x v="0"/>
    <s v="Biofertilizantes"/>
    <m/>
    <n v="80"/>
    <m/>
    <n v="4000"/>
    <s v=""/>
    <n v="320000"/>
  </r>
  <r>
    <n v="504"/>
    <m/>
    <x v="46"/>
    <x v="204"/>
    <m/>
    <m/>
    <m/>
    <m/>
    <x v="0"/>
    <x v="5"/>
    <s v="Biorepelentes"/>
    <n v="199.92359142534642"/>
    <m/>
    <n v="600"/>
    <m/>
    <n v="119954.15485520785"/>
    <s v=""/>
  </r>
  <r>
    <n v="505"/>
    <m/>
    <x v="46"/>
    <x v="204"/>
    <s v="Control_Biologico"/>
    <s v="Luis Naranjo"/>
    <s v="Siembra"/>
    <m/>
    <x v="1"/>
    <x v="3"/>
    <s v="Control Biologico"/>
    <m/>
    <m/>
    <m/>
    <n v="0.11"/>
    <s v=""/>
    <s v=""/>
  </r>
  <r>
    <n v="506"/>
    <m/>
    <x v="46"/>
    <x v="204"/>
    <s v="Externo"/>
    <s v="Yucatán"/>
    <s v="Yucatán"/>
    <m/>
    <x v="1"/>
    <x v="3"/>
    <s v="Control Biologico"/>
    <m/>
    <n v="42000"/>
    <m/>
    <n v="1"/>
    <s v=""/>
    <n v="42000"/>
  </r>
  <r>
    <n v="507"/>
    <m/>
    <x v="46"/>
    <x v="205"/>
    <m/>
    <m/>
    <m/>
    <m/>
    <x v="0"/>
    <x v="6"/>
    <s v="Apicultura"/>
    <n v="287.6268905420971"/>
    <m/>
    <n v="280.77000000000004"/>
    <m/>
    <n v="80757.002057504607"/>
    <s v=""/>
  </r>
  <r>
    <n v="508"/>
    <m/>
    <x v="46"/>
    <x v="205"/>
    <m/>
    <m/>
    <m/>
    <m/>
    <x v="0"/>
    <x v="2"/>
    <s v="Biorepelentes"/>
    <n v="247.18544827008316"/>
    <m/>
    <n v="400"/>
    <m/>
    <n v="98874.179308033257"/>
    <s v=""/>
  </r>
  <r>
    <n v="509"/>
    <m/>
    <x v="46"/>
    <x v="205"/>
    <m/>
    <m/>
    <m/>
    <m/>
    <x v="1"/>
    <x v="3"/>
    <s v="Control Biologico"/>
    <m/>
    <n v="25000"/>
    <m/>
    <n v="0.65"/>
    <s v=""/>
    <n v="16250"/>
  </r>
  <r>
    <n v="510"/>
    <m/>
    <x v="46"/>
    <x v="206"/>
    <m/>
    <m/>
    <m/>
    <m/>
    <x v="1"/>
    <x v="6"/>
    <s v="Apicultura"/>
    <m/>
    <n v="82.5"/>
    <m/>
    <n v="40"/>
    <s v=""/>
    <n v="3300"/>
  </r>
  <r>
    <n v="511"/>
    <n v="687"/>
    <x v="46"/>
    <x v="206"/>
    <s v="Almacen"/>
    <s v="Marco Bentancourt"/>
    <s v="Marco Bentancourt"/>
    <s v="OC-CS-0865"/>
    <x v="1"/>
    <x v="5"/>
    <s v="Biorepelentes"/>
    <m/>
    <n v="240"/>
    <m/>
    <n v="900"/>
    <s v=""/>
    <n v="216000"/>
  </r>
  <r>
    <n v="512"/>
    <n v="686"/>
    <x v="46"/>
    <x v="206"/>
    <s v="Almacen"/>
    <s v="Marco Bentancourt"/>
    <s v="Marco Bentancourt"/>
    <s v="OC-CS-0866"/>
    <x v="1"/>
    <x v="2"/>
    <s v="Biorepelentes"/>
    <m/>
    <n v="299"/>
    <m/>
    <n v="300"/>
    <s v=""/>
    <n v="89700"/>
  </r>
  <r>
    <n v="513"/>
    <n v="685"/>
    <x v="46"/>
    <x v="206"/>
    <s v="Almacen"/>
    <s v="Marco Bentancourt"/>
    <s v="Marco Bentancourt"/>
    <s v="OC-CS-0867"/>
    <x v="1"/>
    <x v="10"/>
    <s v="Biorepelentes"/>
    <m/>
    <n v="110"/>
    <m/>
    <n v="380"/>
    <s v=""/>
    <n v="41800"/>
  </r>
  <r>
    <n v="514"/>
    <m/>
    <x v="46"/>
    <x v="206"/>
    <m/>
    <m/>
    <m/>
    <m/>
    <x v="0"/>
    <x v="3"/>
    <s v="Control Biologico"/>
    <n v="17000"/>
    <m/>
    <n v="1.47"/>
    <m/>
    <n v="24990"/>
    <s v=""/>
  </r>
  <r>
    <n v="515"/>
    <m/>
    <x v="46"/>
    <x v="207"/>
    <m/>
    <m/>
    <m/>
    <m/>
    <x v="0"/>
    <x v="8"/>
    <s v="Biofertilizantes"/>
    <n v="2.2000000000000002"/>
    <m/>
    <n v="12000"/>
    <m/>
    <n v="26400.000000000004"/>
    <s v=""/>
  </r>
  <r>
    <n v="516"/>
    <m/>
    <x v="47"/>
    <x v="208"/>
    <m/>
    <m/>
    <m/>
    <m/>
    <x v="0"/>
    <x v="6"/>
    <s v="Apicultura"/>
    <n v="287.6268905420971"/>
    <m/>
    <n v="101.28999999999999"/>
    <m/>
    <n v="29133.727743009014"/>
    <s v=""/>
  </r>
  <r>
    <n v="517"/>
    <m/>
    <x v="47"/>
    <x v="209"/>
    <m/>
    <m/>
    <m/>
    <m/>
    <x v="0"/>
    <x v="6"/>
    <s v="Apicultura"/>
    <n v="287.6268905420971"/>
    <m/>
    <n v="200.79000000000002"/>
    <m/>
    <n v="57752.603351947684"/>
    <s v=""/>
  </r>
  <r>
    <n v="518"/>
    <s v="F-16932"/>
    <x v="47"/>
    <x v="210"/>
    <m/>
    <m/>
    <m/>
    <m/>
    <x v="1"/>
    <x v="7"/>
    <s v="Biofertilizantes"/>
    <m/>
    <n v="2"/>
    <m/>
    <n v="2000"/>
    <s v=""/>
    <n v="4000"/>
  </r>
  <r>
    <n v="519"/>
    <m/>
    <x v="47"/>
    <x v="210"/>
    <m/>
    <m/>
    <m/>
    <m/>
    <x v="0"/>
    <x v="2"/>
    <s v="Biorepelentes"/>
    <n v="247.18544827008316"/>
    <m/>
    <n v="600"/>
    <m/>
    <n v="148311.26896204989"/>
    <s v=""/>
  </r>
  <r>
    <n v="520"/>
    <m/>
    <x v="47"/>
    <x v="211"/>
    <m/>
    <m/>
    <m/>
    <m/>
    <x v="1"/>
    <x v="3"/>
    <s v="Control Biologico"/>
    <m/>
    <n v="25000"/>
    <m/>
    <n v="0.55000000000000004"/>
    <s v=""/>
    <n v="13750.000000000002"/>
  </r>
  <r>
    <n v="521"/>
    <m/>
    <x v="47"/>
    <x v="212"/>
    <m/>
    <m/>
    <m/>
    <m/>
    <x v="0"/>
    <x v="8"/>
    <s v="Biofertilizantes"/>
    <n v="2.2000000000000002"/>
    <m/>
    <n v="18000"/>
    <m/>
    <n v="39600"/>
    <s v=""/>
  </r>
  <r>
    <n v="522"/>
    <m/>
    <x v="47"/>
    <x v="212"/>
    <m/>
    <m/>
    <m/>
    <m/>
    <x v="0"/>
    <x v="1"/>
    <s v="Biofertilizantes"/>
    <n v="0.75"/>
    <m/>
    <n v="10000"/>
    <m/>
    <n v="7500"/>
    <s v=""/>
  </r>
  <r>
    <n v="523"/>
    <m/>
    <x v="47"/>
    <x v="212"/>
    <m/>
    <m/>
    <m/>
    <m/>
    <x v="0"/>
    <x v="3"/>
    <s v="Control Biologico"/>
    <n v="17000"/>
    <m/>
    <n v="1.2889999999999999"/>
    <m/>
    <n v="21913"/>
    <s v=""/>
  </r>
  <r>
    <n v="524"/>
    <m/>
    <x v="48"/>
    <x v="213"/>
    <m/>
    <m/>
    <m/>
    <m/>
    <x v="0"/>
    <x v="10"/>
    <s v="Biorepelentes"/>
    <n v="82.584879220000005"/>
    <m/>
    <n v="200"/>
    <m/>
    <n v="16516.975844000001"/>
    <s v=""/>
  </r>
  <r>
    <n v="525"/>
    <m/>
    <x v="48"/>
    <x v="214"/>
    <m/>
    <m/>
    <m/>
    <m/>
    <x v="1"/>
    <x v="6"/>
    <s v="Apicultura"/>
    <m/>
    <n v="82.5"/>
    <m/>
    <n v="24"/>
    <s v=""/>
    <n v="1980"/>
  </r>
  <r>
    <n v="526"/>
    <s v="F16937"/>
    <x v="48"/>
    <x v="214"/>
    <m/>
    <m/>
    <m/>
    <m/>
    <x v="1"/>
    <x v="8"/>
    <s v="Biofertilizantes"/>
    <m/>
    <n v="3.5"/>
    <m/>
    <n v="1500"/>
    <s v=""/>
    <n v="5250"/>
  </r>
  <r>
    <n v="527"/>
    <m/>
    <x v="48"/>
    <x v="215"/>
    <m/>
    <m/>
    <m/>
    <m/>
    <x v="1"/>
    <x v="3"/>
    <s v="Control Biologico"/>
    <m/>
    <m/>
    <m/>
    <n v="0.11"/>
    <s v=""/>
    <s v=""/>
  </r>
  <r>
    <n v="528"/>
    <s v="F-16938,F-16933,F-16934,F-16936"/>
    <x v="48"/>
    <x v="216"/>
    <m/>
    <m/>
    <m/>
    <m/>
    <x v="1"/>
    <x v="7"/>
    <s v="Biofertilizantes"/>
    <m/>
    <n v="2"/>
    <m/>
    <n v="57520"/>
    <s v=""/>
    <n v="115040"/>
  </r>
  <r>
    <n v="529"/>
    <m/>
    <x v="48"/>
    <x v="216"/>
    <m/>
    <m/>
    <m/>
    <m/>
    <x v="1"/>
    <x v="3"/>
    <s v="Control Biologico"/>
    <m/>
    <n v="25000"/>
    <m/>
    <n v="0.7"/>
    <s v=""/>
    <n v="17500"/>
  </r>
  <r>
    <n v="530"/>
    <s v="F-16939"/>
    <x v="48"/>
    <x v="217"/>
    <m/>
    <m/>
    <m/>
    <m/>
    <x v="1"/>
    <x v="7"/>
    <s v="Biofertilizantes"/>
    <m/>
    <n v="2"/>
    <m/>
    <n v="11880"/>
    <s v=""/>
    <n v="23760"/>
  </r>
  <r>
    <n v="531"/>
    <m/>
    <x v="48"/>
    <x v="217"/>
    <m/>
    <m/>
    <m/>
    <m/>
    <x v="0"/>
    <x v="3"/>
    <s v="Control Biologico"/>
    <n v="17000"/>
    <m/>
    <n v="1.379"/>
    <m/>
    <n v="23443"/>
    <s v=""/>
  </r>
  <r>
    <n v="532"/>
    <s v="BR-688"/>
    <x v="49"/>
    <x v="218"/>
    <s v="Almacen"/>
    <s v="Marco Bentancourt"/>
    <s v="Marco Bentancourt"/>
    <s v="OC-CS-0880"/>
    <x v="1"/>
    <x v="0"/>
    <s v="Biofertilizantes"/>
    <m/>
    <n v="40"/>
    <m/>
    <n v="960"/>
    <s v=""/>
    <n v="38400"/>
  </r>
  <r>
    <n v="533"/>
    <m/>
    <x v="49"/>
    <x v="219"/>
    <m/>
    <m/>
    <m/>
    <m/>
    <x v="1"/>
    <x v="6"/>
    <s v="Apicultura"/>
    <m/>
    <n v="82.5"/>
    <m/>
    <n v="19"/>
    <s v=""/>
    <n v="1567.5"/>
  </r>
  <r>
    <n v="534"/>
    <s v="F-16941, F-16942, F-16944"/>
    <x v="49"/>
    <x v="220"/>
    <m/>
    <m/>
    <m/>
    <m/>
    <x v="1"/>
    <x v="7"/>
    <s v="Biofertilizantes"/>
    <m/>
    <n v="2"/>
    <m/>
    <n v="42070"/>
    <s v=""/>
    <n v="84140"/>
  </r>
  <r>
    <n v="535"/>
    <s v="F-16943"/>
    <x v="49"/>
    <x v="220"/>
    <m/>
    <m/>
    <m/>
    <m/>
    <x v="1"/>
    <x v="7"/>
    <s v="Biofertilizantes"/>
    <m/>
    <n v="2"/>
    <m/>
    <n v="8500"/>
    <s v=""/>
    <n v="17000"/>
  </r>
  <r>
    <n v="536"/>
    <m/>
    <x v="49"/>
    <x v="220"/>
    <m/>
    <m/>
    <m/>
    <m/>
    <x v="0"/>
    <x v="10"/>
    <s v="Biorepelentes"/>
    <n v="82.584879220000005"/>
    <m/>
    <n v="400"/>
    <m/>
    <n v="33033.951688000001"/>
    <s v=""/>
  </r>
  <r>
    <n v="537"/>
    <n v="689"/>
    <x v="49"/>
    <x v="220"/>
    <m/>
    <m/>
    <m/>
    <m/>
    <x v="1"/>
    <x v="2"/>
    <s v="Biorepelentes"/>
    <m/>
    <n v="299"/>
    <m/>
    <n v="1000"/>
    <s v=""/>
    <n v="299000"/>
  </r>
  <r>
    <n v="538"/>
    <m/>
    <x v="49"/>
    <x v="220"/>
    <m/>
    <m/>
    <m/>
    <m/>
    <x v="1"/>
    <x v="3"/>
    <s v="Control Biologico"/>
    <m/>
    <n v="25000"/>
    <m/>
    <n v="1.25"/>
    <s v=""/>
    <n v="31250"/>
  </r>
  <r>
    <n v="539"/>
    <s v="BR-690"/>
    <x v="49"/>
    <x v="221"/>
    <m/>
    <m/>
    <m/>
    <s v="Validaciones"/>
    <x v="1"/>
    <x v="0"/>
    <s v="Biofertilizantes"/>
    <m/>
    <n v="40"/>
    <m/>
    <n v="60"/>
    <s v=""/>
    <n v="2400"/>
  </r>
  <r>
    <n v="540"/>
    <n v="690"/>
    <x v="49"/>
    <x v="221"/>
    <m/>
    <m/>
    <m/>
    <s v="Validaciones"/>
    <x v="1"/>
    <x v="10"/>
    <s v="Biorepelentes"/>
    <m/>
    <m/>
    <m/>
    <n v="20"/>
    <s v=""/>
    <s v=""/>
  </r>
  <r>
    <n v="541"/>
    <n v="690"/>
    <x v="49"/>
    <x v="221"/>
    <m/>
    <m/>
    <m/>
    <m/>
    <x v="1"/>
    <x v="4"/>
    <s v="Biorepelentes"/>
    <m/>
    <m/>
    <m/>
    <n v="20"/>
    <s v=""/>
    <s v=""/>
  </r>
  <r>
    <n v="542"/>
    <m/>
    <x v="49"/>
    <x v="222"/>
    <m/>
    <m/>
    <m/>
    <m/>
    <x v="0"/>
    <x v="7"/>
    <s v="Biofertilizantes"/>
    <n v="1.25"/>
    <m/>
    <n v="50000"/>
    <m/>
    <n v="62500"/>
    <s v=""/>
  </r>
  <r>
    <n v="543"/>
    <m/>
    <x v="49"/>
    <x v="222"/>
    <m/>
    <m/>
    <m/>
    <m/>
    <x v="0"/>
    <x v="3"/>
    <s v="Control Biologico"/>
    <n v="17000"/>
    <m/>
    <n v="1.093"/>
    <m/>
    <n v="18581"/>
    <s v=""/>
  </r>
  <r>
    <n v="544"/>
    <s v="F-16945"/>
    <x v="50"/>
    <x v="223"/>
    <m/>
    <m/>
    <m/>
    <m/>
    <x v="1"/>
    <x v="1"/>
    <s v="Biofertilizantes"/>
    <m/>
    <n v="1.2"/>
    <m/>
    <n v="160"/>
    <s v=""/>
    <n v="192"/>
  </r>
  <r>
    <n v="545"/>
    <m/>
    <x v="50"/>
    <x v="224"/>
    <m/>
    <m/>
    <m/>
    <m/>
    <x v="1"/>
    <x v="3"/>
    <s v="Control Biologico"/>
    <m/>
    <n v="42000"/>
    <m/>
    <n v="0.5"/>
    <s v=""/>
    <n v="21000"/>
  </r>
  <r>
    <n v="546"/>
    <m/>
    <x v="50"/>
    <x v="225"/>
    <m/>
    <m/>
    <m/>
    <m/>
    <x v="1"/>
    <x v="3"/>
    <s v="Control Biologico"/>
    <m/>
    <m/>
    <m/>
    <n v="0.11"/>
    <s v=""/>
    <s v=""/>
  </r>
  <r>
    <n v="547"/>
    <s v="F-16947"/>
    <x v="50"/>
    <x v="226"/>
    <m/>
    <m/>
    <m/>
    <m/>
    <x v="1"/>
    <x v="1"/>
    <s v="Biofertilizantes"/>
    <m/>
    <m/>
    <m/>
    <n v="20"/>
    <s v=""/>
    <s v=""/>
  </r>
  <r>
    <n v="548"/>
    <m/>
    <x v="50"/>
    <x v="226"/>
    <m/>
    <m/>
    <m/>
    <m/>
    <x v="1"/>
    <x v="6"/>
    <s v="Apicultura"/>
    <m/>
    <m/>
    <m/>
    <n v="4"/>
    <s v=""/>
    <s v=""/>
  </r>
  <r>
    <n v="549"/>
    <m/>
    <x v="50"/>
    <x v="226"/>
    <m/>
    <m/>
    <m/>
    <m/>
    <x v="1"/>
    <x v="3"/>
    <s v="Control Biologico"/>
    <m/>
    <n v="25000"/>
    <m/>
    <n v="0.9"/>
    <s v=""/>
    <n v="22500"/>
  </r>
  <r>
    <n v="550"/>
    <s v="F-16948"/>
    <x v="50"/>
    <x v="227"/>
    <m/>
    <m/>
    <m/>
    <m/>
    <x v="1"/>
    <x v="7"/>
    <s v="Biofertilizantes"/>
    <m/>
    <n v="2"/>
    <m/>
    <n v="8000"/>
    <s v=""/>
    <n v="16000"/>
  </r>
  <r>
    <n v="551"/>
    <m/>
    <x v="50"/>
    <x v="227"/>
    <m/>
    <m/>
    <m/>
    <m/>
    <x v="1"/>
    <x v="6"/>
    <s v="Apicultura"/>
    <m/>
    <n v="82.5"/>
    <m/>
    <n v="117"/>
    <s v=""/>
    <n v="9652.5"/>
  </r>
  <r>
    <n v="552"/>
    <m/>
    <x v="50"/>
    <x v="228"/>
    <m/>
    <m/>
    <m/>
    <m/>
    <x v="0"/>
    <x v="3"/>
    <s v="Control Biologico"/>
    <n v="17000"/>
    <m/>
    <n v="1.1599999999999999"/>
    <m/>
    <n v="19720"/>
    <s v=""/>
  </r>
  <r>
    <n v="553"/>
    <s v="F-16949"/>
    <x v="51"/>
    <x v="229"/>
    <m/>
    <m/>
    <m/>
    <m/>
    <x v="1"/>
    <x v="7"/>
    <s v="Biofertilizantes"/>
    <m/>
    <n v="2"/>
    <m/>
    <n v="13500"/>
    <s v=""/>
    <n v="27000"/>
  </r>
  <r>
    <n v="554"/>
    <m/>
    <x v="51"/>
    <x v="230"/>
    <m/>
    <m/>
    <m/>
    <m/>
    <x v="1"/>
    <x v="3"/>
    <s v="Control Biologico"/>
    <m/>
    <n v="25000"/>
    <m/>
    <n v="1.3"/>
    <s v=""/>
    <n v="32500"/>
  </r>
  <r>
    <n v="555"/>
    <m/>
    <x v="51"/>
    <x v="230"/>
    <m/>
    <m/>
    <m/>
    <m/>
    <x v="1"/>
    <x v="1"/>
    <s v="Biofertilizantes"/>
    <m/>
    <n v="1.2"/>
    <m/>
    <n v="80"/>
    <s v=""/>
    <n v="96"/>
  </r>
  <r>
    <n v="556"/>
    <m/>
    <x v="51"/>
    <x v="230"/>
    <m/>
    <m/>
    <m/>
    <m/>
    <x v="1"/>
    <x v="8"/>
    <s v="Biofertilizantes"/>
    <m/>
    <n v="3.5"/>
    <m/>
    <n v="180"/>
    <s v=""/>
    <n v="630"/>
  </r>
  <r>
    <n v="557"/>
    <m/>
    <x v="51"/>
    <x v="231"/>
    <m/>
    <m/>
    <m/>
    <m/>
    <x v="1"/>
    <x v="6"/>
    <s v="Apicultura"/>
    <m/>
    <m/>
    <m/>
    <n v="1"/>
    <s v=""/>
    <s v=""/>
  </r>
  <r>
    <n v="558"/>
    <m/>
    <x v="51"/>
    <x v="231"/>
    <m/>
    <m/>
    <m/>
    <m/>
    <x v="1"/>
    <x v="6"/>
    <s v="Apicultura"/>
    <m/>
    <n v="82.5"/>
    <m/>
    <n v="60"/>
    <s v=""/>
    <n v="4950"/>
  </r>
  <r>
    <n v="559"/>
    <m/>
    <x v="51"/>
    <x v="232"/>
    <m/>
    <m/>
    <m/>
    <m/>
    <x v="0"/>
    <x v="3"/>
    <s v="Control Biologico"/>
    <n v="17000"/>
    <m/>
    <n v="1"/>
    <m/>
    <n v="1700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EF4D20-0593-41E0-BA8C-310E61BE9A57}" name="TD1" cacheId="0" applyNumberFormats="0" applyBorderFormats="0" applyFontFormats="0" applyPatternFormats="0" applyAlignmentFormats="0" applyWidthHeightFormats="1" dataCaption="Valores" showError="1" updatedVersion="6" minRefreshableVersion="3" colGrandTotals="0" itemPrintTitles="1" createdVersion="6" indent="0" outline="1" outlineData="1" multipleFieldFilters="0" chartFormat="3" rowHeaderCaption=" ">
  <location ref="B6:L21" firstHeaderRow="1" firstDataRow="2" firstDataCol="1"/>
  <pivotFields count="20">
    <pivotField showAll="0" defaultSubtotal="0"/>
    <pivotField showAll="0" defaultSubtotal="0"/>
    <pivotField axis="axisRow" showAll="0" defaultSubtotal="0">
      <items count="5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s>
    </pivotField>
    <pivotField numFmtId="15"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axis="axisCol" showAll="0" defaultSubtotal="0">
      <items count="12">
        <item x="2"/>
        <item x="5"/>
        <item x="4"/>
        <item h="1" x="11"/>
        <item x="10"/>
        <item x="0"/>
        <item h="1" x="9"/>
        <item x="1"/>
        <item x="7"/>
        <item x="8"/>
        <item x="3"/>
        <item x="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3">
        <item x="0"/>
        <item x="1"/>
        <item x="2"/>
      </items>
    </pivotField>
    <pivotField dataField="1" dragToRow="0" dragToCol="0" dragToPage="0" showAll="0" defaultSubtotal="0"/>
  </pivotFields>
  <rowFields count="3">
    <field x="18"/>
    <field x="17"/>
    <field x="2"/>
  </rowFields>
  <rowItems count="14">
    <i>
      <x v="1"/>
    </i>
    <i r="1">
      <x v="1"/>
    </i>
    <i r="1">
      <x v="2"/>
    </i>
    <i r="1">
      <x v="3"/>
    </i>
    <i r="1">
      <x v="4"/>
    </i>
    <i r="1">
      <x v="5"/>
    </i>
    <i r="1">
      <x v="6"/>
    </i>
    <i r="1">
      <x v="7"/>
    </i>
    <i r="1">
      <x v="8"/>
    </i>
    <i r="1">
      <x v="9"/>
    </i>
    <i r="1">
      <x v="10"/>
    </i>
    <i r="1">
      <x v="11"/>
    </i>
    <i r="1">
      <x v="12"/>
    </i>
    <i t="grand">
      <x/>
    </i>
  </rowItems>
  <colFields count="1">
    <field x="9"/>
  </colFields>
  <colItems count="10">
    <i>
      <x/>
    </i>
    <i>
      <x v="1"/>
    </i>
    <i>
      <x v="2"/>
    </i>
    <i>
      <x v="4"/>
    </i>
    <i>
      <x v="5"/>
    </i>
    <i>
      <x v="7"/>
    </i>
    <i>
      <x v="8"/>
    </i>
    <i>
      <x v="9"/>
    </i>
    <i>
      <x v="10"/>
    </i>
    <i>
      <x v="11"/>
    </i>
  </colItems>
  <dataFields count="1">
    <dataField name=" Stock" fld="19" baseField="2" baseItem="0" numFmtId="177"/>
  </dataFields>
  <formats count="19">
    <format dxfId="128">
      <pivotArea type="origin" dataOnly="0" labelOnly="1" outline="0" fieldPosition="0"/>
    </format>
    <format dxfId="127">
      <pivotArea field="9" type="button" dataOnly="0" labelOnly="1" outline="0" axis="axisCol" fieldPosition="0"/>
    </format>
    <format dxfId="126">
      <pivotArea type="topRight" dataOnly="0" labelOnly="1" outline="0" fieldPosition="0"/>
    </format>
    <format dxfId="125">
      <pivotArea field="18" type="button" dataOnly="0" labelOnly="1" outline="0" axis="axisRow" fieldPosition="0"/>
    </format>
    <format dxfId="124">
      <pivotArea dataOnly="0" labelOnly="1" fieldPosition="0">
        <references count="1">
          <reference field="9" count="0"/>
        </references>
      </pivotArea>
    </format>
    <format dxfId="123">
      <pivotArea dataOnly="0" grandRow="1" fieldPosition="0"/>
    </format>
    <format dxfId="122">
      <pivotArea collapsedLevelsAreSubtotals="1" fieldPosition="0">
        <references count="1">
          <reference field="18" count="1">
            <x v="1"/>
          </reference>
        </references>
      </pivotArea>
    </format>
    <format dxfId="121">
      <pivotArea dataOnly="0" labelOnly="1" fieldPosition="0">
        <references count="1">
          <reference field="18" count="1">
            <x v="1"/>
          </reference>
        </references>
      </pivotArea>
    </format>
    <format dxfId="120">
      <pivotArea outline="0" collapsedLevelsAreSubtotals="1" fieldPosition="0"/>
    </format>
    <format dxfId="119">
      <pivotArea field="9" type="button" dataOnly="0" labelOnly="1" outline="0" axis="axisCol" fieldPosition="0"/>
    </format>
    <format dxfId="118">
      <pivotArea type="topRight" dataOnly="0" labelOnly="1" outline="0" fieldPosition="0"/>
    </format>
    <format dxfId="117">
      <pivotArea dataOnly="0" labelOnly="1" fieldPosition="0">
        <references count="1">
          <reference field="9" count="0"/>
        </references>
      </pivotArea>
    </format>
    <format dxfId="116">
      <pivotArea outline="0" collapsedLevelsAreSubtotals="1" fieldPosition="0"/>
    </format>
    <format dxfId="115">
      <pivotArea field="9" type="button" dataOnly="0" labelOnly="1" outline="0" axis="axisCol" fieldPosition="0"/>
    </format>
    <format dxfId="114">
      <pivotArea type="topRight" dataOnly="0" labelOnly="1" outline="0" fieldPosition="0"/>
    </format>
    <format dxfId="113">
      <pivotArea dataOnly="0" labelOnly="1" fieldPosition="0">
        <references count="1">
          <reference field="9" count="0"/>
        </references>
      </pivotArea>
    </format>
    <format dxfId="112">
      <pivotArea grandRow="1" outline="0" collapsedLevelsAreSubtotals="1" fieldPosition="0"/>
    </format>
    <format dxfId="111">
      <pivotArea dataOnly="0" labelOnly="1" fieldPosition="0">
        <references count="1">
          <reference field="9" count="0"/>
        </references>
      </pivotArea>
    </format>
    <format dxfId="110">
      <pivotArea outline="0" fieldPosition="0">
        <references count="1">
          <reference field="4294967294" count="1">
            <x v="0"/>
          </reference>
        </references>
      </pivotArea>
    </format>
  </formats>
  <conditionalFormats count="1">
    <conditionalFormat scope="data" priority="1">
      <pivotAreas count="1">
        <pivotArea outline="0" fieldPosition="0">
          <references count="1">
            <reference field="4294967294" count="1" selected="0">
              <x v="0"/>
            </reference>
          </references>
        </pivotArea>
      </pivotAreas>
    </conditionalFormat>
  </conditionalFormats>
  <chartFormats count="15">
    <chartFormat chart="0" format="96" series="1">
      <pivotArea type="data" outline="0" fieldPosition="0">
        <references count="2">
          <reference field="4294967294" count="1" selected="0">
            <x v="0"/>
          </reference>
          <reference field="9" count="1" selected="0">
            <x v="0"/>
          </reference>
        </references>
      </pivotArea>
    </chartFormat>
    <chartFormat chart="0" format="97">
      <pivotArea type="data" outline="0" fieldPosition="0">
        <references count="3">
          <reference field="4294967294" count="1" selected="0">
            <x v="0"/>
          </reference>
          <reference field="9" count="1" selected="0">
            <x v="0"/>
          </reference>
          <reference field="18" count="1" selected="0">
            <x v="1"/>
          </reference>
        </references>
      </pivotArea>
    </chartFormat>
    <chartFormat chart="0" format="98" series="1">
      <pivotArea type="data" outline="0" fieldPosition="0">
        <references count="2">
          <reference field="4294967294" count="1" selected="0">
            <x v="0"/>
          </reference>
          <reference field="9" count="1" selected="0">
            <x v="1"/>
          </reference>
        </references>
      </pivotArea>
    </chartFormat>
    <chartFormat chart="0" format="99">
      <pivotArea type="data" outline="0" fieldPosition="0">
        <references count="3">
          <reference field="4294967294" count="1" selected="0">
            <x v="0"/>
          </reference>
          <reference field="9" count="1" selected="0">
            <x v="1"/>
          </reference>
          <reference field="18" count="1" selected="0">
            <x v="1"/>
          </reference>
        </references>
      </pivotArea>
    </chartFormat>
    <chartFormat chart="0" format="100" series="1">
      <pivotArea type="data" outline="0" fieldPosition="0">
        <references count="2">
          <reference field="4294967294" count="1" selected="0">
            <x v="0"/>
          </reference>
          <reference field="9" count="1" selected="0">
            <x v="2"/>
          </reference>
        </references>
      </pivotArea>
    </chartFormat>
    <chartFormat chart="0" format="101">
      <pivotArea type="data" outline="0" fieldPosition="0">
        <references count="3">
          <reference field="4294967294" count="1" selected="0">
            <x v="0"/>
          </reference>
          <reference field="9" count="1" selected="0">
            <x v="2"/>
          </reference>
          <reference field="18" count="1" selected="0">
            <x v="1"/>
          </reference>
        </references>
      </pivotArea>
    </chartFormat>
    <chartFormat chart="0" format="102" series="1">
      <pivotArea type="data" outline="0" fieldPosition="0">
        <references count="2">
          <reference field="4294967294" count="1" selected="0">
            <x v="0"/>
          </reference>
          <reference field="9" count="1" selected="0">
            <x v="3"/>
          </reference>
        </references>
      </pivotArea>
    </chartFormat>
    <chartFormat chart="0" format="103" series="1">
      <pivotArea type="data" outline="0" fieldPosition="0">
        <references count="2">
          <reference field="4294967294" count="1" selected="0">
            <x v="0"/>
          </reference>
          <reference field="9" count="1" selected="0">
            <x v="4"/>
          </reference>
        </references>
      </pivotArea>
    </chartFormat>
    <chartFormat chart="0" format="104" series="1">
      <pivotArea type="data" outline="0" fieldPosition="0">
        <references count="2">
          <reference field="4294967294" count="1" selected="0">
            <x v="0"/>
          </reference>
          <reference field="9" count="1" selected="0">
            <x v="5"/>
          </reference>
        </references>
      </pivotArea>
    </chartFormat>
    <chartFormat chart="0" format="105" series="1">
      <pivotArea type="data" outline="0" fieldPosition="0">
        <references count="2">
          <reference field="4294967294" count="1" selected="0">
            <x v="0"/>
          </reference>
          <reference field="9" count="1" selected="0">
            <x v="6"/>
          </reference>
        </references>
      </pivotArea>
    </chartFormat>
    <chartFormat chart="0" format="106" series="1">
      <pivotArea type="data" outline="0" fieldPosition="0">
        <references count="2">
          <reference field="4294967294" count="1" selected="0">
            <x v="0"/>
          </reference>
          <reference field="9" count="1" selected="0">
            <x v="7"/>
          </reference>
        </references>
      </pivotArea>
    </chartFormat>
    <chartFormat chart="0" format="107" series="1">
      <pivotArea type="data" outline="0" fieldPosition="0">
        <references count="2">
          <reference field="4294967294" count="1" selected="0">
            <x v="0"/>
          </reference>
          <reference field="9" count="1" selected="0">
            <x v="8"/>
          </reference>
        </references>
      </pivotArea>
    </chartFormat>
    <chartFormat chart="0" format="108" series="1">
      <pivotArea type="data" outline="0" fieldPosition="0">
        <references count="2">
          <reference field="4294967294" count="1" selected="0">
            <x v="0"/>
          </reference>
          <reference field="9" count="1" selected="0">
            <x v="9"/>
          </reference>
        </references>
      </pivotArea>
    </chartFormat>
    <chartFormat chart="0" format="109" series="1">
      <pivotArea type="data" outline="0" fieldPosition="0">
        <references count="2">
          <reference field="4294967294" count="1" selected="0">
            <x v="0"/>
          </reference>
          <reference field="9" count="1" selected="0">
            <x v="10"/>
          </reference>
        </references>
      </pivotArea>
    </chartFormat>
    <chartFormat chart="0" format="110" series="1">
      <pivotArea type="data" outline="0" fieldPosition="0">
        <references count="2">
          <reference field="4294967294" count="1" selected="0">
            <x v="0"/>
          </reference>
          <reference field="9" count="1" selected="0">
            <x v="1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C97165-DCCB-46DA-A049-06DB117398D3}" name="TD3" cacheId="0"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location ref="B137:O152" firstHeaderRow="1" firstDataRow="3" firstDataCol="1"/>
  <pivotFields count="2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items count="13">
        <item x="2"/>
        <item x="5"/>
        <item x="4"/>
        <item x="10"/>
        <item x="0"/>
        <item x="1"/>
        <item x="7"/>
        <item x="8"/>
        <item x="3"/>
        <item x="6"/>
        <item x="9"/>
        <item x="11"/>
        <item t="default"/>
      </items>
    </pivotField>
    <pivotField showAll="0"/>
    <pivotField showAll="0"/>
    <pivotField showAll="0"/>
    <pivotField dataField="1"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sd="0" x="0"/>
        <item x="1"/>
        <item x="2"/>
      </items>
    </pivotField>
    <pivotField dragToRow="0" dragToCol="0" dragToPage="0" showAll="0" defaultSubtotal="0"/>
  </pivotFields>
  <rowFields count="1">
    <field x="9"/>
  </rowFields>
  <rowItems count="13">
    <i>
      <x/>
    </i>
    <i>
      <x v="1"/>
    </i>
    <i>
      <x v="2"/>
    </i>
    <i>
      <x v="3"/>
    </i>
    <i>
      <x v="4"/>
    </i>
    <i>
      <x v="5"/>
    </i>
    <i>
      <x v="6"/>
    </i>
    <i>
      <x v="7"/>
    </i>
    <i>
      <x v="8"/>
    </i>
    <i>
      <x v="9"/>
    </i>
    <i>
      <x v="10"/>
    </i>
    <i>
      <x v="11"/>
    </i>
    <i t="grand">
      <x/>
    </i>
  </rowItems>
  <colFields count="2">
    <field x="18"/>
    <field x="17"/>
  </colFields>
  <colItems count="13">
    <i>
      <x v="1"/>
      <x v="1"/>
    </i>
    <i r="1">
      <x v="2"/>
    </i>
    <i r="1">
      <x v="3"/>
    </i>
    <i r="1">
      <x v="4"/>
    </i>
    <i r="1">
      <x v="5"/>
    </i>
    <i r="1">
      <x v="6"/>
    </i>
    <i r="1">
      <x v="7"/>
    </i>
    <i r="1">
      <x v="8"/>
    </i>
    <i r="1">
      <x v="9"/>
    </i>
    <i r="1">
      <x v="10"/>
    </i>
    <i r="1">
      <x v="11"/>
    </i>
    <i r="1">
      <x v="12"/>
    </i>
    <i t="grand">
      <x/>
    </i>
  </colItems>
  <dataFields count="1">
    <dataField name="_PRODUCCIÓN" fld="13" baseField="9" baseItem="4" numFmtId="177"/>
  </dataFields>
  <formats count="2">
    <format dxfId="130">
      <pivotArea dataOnly="0" outline="0" fieldPosition="0">
        <references count="1">
          <reference field="17" count="12">
            <x v="1"/>
            <x v="2"/>
            <x v="3"/>
            <x v="4"/>
            <x v="5"/>
            <x v="6"/>
            <x v="7"/>
            <x v="8"/>
            <x v="9"/>
            <x v="10"/>
            <x v="11"/>
            <x v="12"/>
          </reference>
        </references>
      </pivotArea>
    </format>
    <format dxfId="129">
      <pivotArea dataOnly="0" outline="0" fieldPosition="0">
        <references count="1">
          <reference field="17" count="12">
            <x v="1"/>
            <x v="2"/>
            <x v="3"/>
            <x v="4"/>
            <x v="5"/>
            <x v="6"/>
            <x v="7"/>
            <x v="8"/>
            <x v="9"/>
            <x v="10"/>
            <x v="11"/>
            <x v="12"/>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F360D-E8FC-4962-9B6D-8CD046982567}" name="TD2" cacheId="0" dataOnRows="1" applyNumberFormats="0" applyBorderFormats="0" applyFontFormats="0" applyPatternFormats="0" applyAlignmentFormats="0" applyWidthHeightFormats="1" dataCaption="Valores" showError="1" updatedVersion="6" minRefreshableVersion="3" rowGrandTotals="0" colGrandTotals="0" itemPrintTitles="1" createdVersion="6" indent="0" outline="1" outlineData="1" multipleFieldFilters="0" chartFormat="7">
  <location ref="B83:C133" firstHeaderRow="1" firstDataRow="3" firstDataCol="1"/>
  <pivotFields count="2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3">
        <item x="0"/>
        <item x="1"/>
        <item t="default"/>
      </items>
    </pivotField>
    <pivotField axis="axisRow" showAll="0">
      <items count="13">
        <item x="2"/>
        <item x="5"/>
        <item x="4"/>
        <item x="11"/>
        <item x="10"/>
        <item x="0"/>
        <item x="9"/>
        <item x="1"/>
        <item x="7"/>
        <item x="8"/>
        <item x="3"/>
        <item x="6"/>
        <item t="default"/>
      </items>
    </pivotField>
    <pivotField showAll="0"/>
    <pivotField showAll="0"/>
    <pivotField showAll="0"/>
    <pivotField dataField="1" showAll="0"/>
    <pivotField dataField="1"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4">
        <item h="1" sd="0" x="0"/>
        <item sd="0" x="1"/>
        <item h="1" x="2"/>
        <item t="default"/>
      </items>
    </pivotField>
    <pivotField dataField="1" dragToRow="0" dragToCol="0" dragToPage="0" showAll="0" defaultSubtotal="0"/>
  </pivotFields>
  <rowFields count="2">
    <field x="9"/>
    <field x="-2"/>
  </rowFields>
  <rowItems count="48">
    <i>
      <x/>
    </i>
    <i r="1">
      <x/>
    </i>
    <i r="1" i="1">
      <x v="1"/>
    </i>
    <i r="1" i="2">
      <x v="2"/>
    </i>
    <i>
      <x v="1"/>
    </i>
    <i r="1">
      <x/>
    </i>
    <i r="1" i="1">
      <x v="1"/>
    </i>
    <i r="1" i="2">
      <x v="2"/>
    </i>
    <i>
      <x v="2"/>
    </i>
    <i r="1">
      <x/>
    </i>
    <i r="1" i="1">
      <x v="1"/>
    </i>
    <i r="1" i="2">
      <x v="2"/>
    </i>
    <i>
      <x v="3"/>
    </i>
    <i r="1">
      <x/>
    </i>
    <i r="1" i="1">
      <x v="1"/>
    </i>
    <i r="1" i="2">
      <x v="2"/>
    </i>
    <i>
      <x v="4"/>
    </i>
    <i r="1">
      <x/>
    </i>
    <i r="1" i="1">
      <x v="1"/>
    </i>
    <i r="1" i="2">
      <x v="2"/>
    </i>
    <i>
      <x v="5"/>
    </i>
    <i r="1">
      <x/>
    </i>
    <i r="1" i="1">
      <x v="1"/>
    </i>
    <i r="1" i="2">
      <x v="2"/>
    </i>
    <i>
      <x v="6"/>
    </i>
    <i r="1">
      <x/>
    </i>
    <i r="1" i="1">
      <x v="1"/>
    </i>
    <i r="1" i="2">
      <x v="2"/>
    </i>
    <i>
      <x v="7"/>
    </i>
    <i r="1">
      <x/>
    </i>
    <i r="1" i="1">
      <x v="1"/>
    </i>
    <i r="1" i="2">
      <x v="2"/>
    </i>
    <i>
      <x v="8"/>
    </i>
    <i r="1">
      <x/>
    </i>
    <i r="1" i="1">
      <x v="1"/>
    </i>
    <i r="1" i="2">
      <x v="2"/>
    </i>
    <i>
      <x v="9"/>
    </i>
    <i r="1">
      <x/>
    </i>
    <i r="1" i="1">
      <x v="1"/>
    </i>
    <i r="1" i="2">
      <x v="2"/>
    </i>
    <i>
      <x v="10"/>
    </i>
    <i r="1">
      <x/>
    </i>
    <i r="1" i="1">
      <x v="1"/>
    </i>
    <i r="1" i="2">
      <x v="2"/>
    </i>
    <i>
      <x v="11"/>
    </i>
    <i r="1">
      <x/>
    </i>
    <i r="1" i="1">
      <x v="1"/>
    </i>
    <i r="1" i="2">
      <x v="2"/>
    </i>
  </rowItems>
  <colFields count="2">
    <field x="18"/>
    <field x="17"/>
  </colFields>
  <colItems count="1">
    <i>
      <x v="1"/>
    </i>
  </colItems>
  <dataFields count="3">
    <dataField name=" PRODUCCIÓN" fld="13" baseField="9" baseItem="0" numFmtId="177"/>
    <dataField name=" SALIDA" fld="14" baseField="9" baseItem="0" numFmtId="177"/>
    <dataField name=" Stock" fld="19" baseField="9" baseItem="0" numFmtId="177"/>
  </dataFields>
  <formats count="16">
    <format dxfId="146">
      <pivotArea type="all" dataOnly="0" outline="0" fieldPosition="0"/>
    </format>
    <format dxfId="145">
      <pivotArea outline="0" collapsedLevelsAreSubtotals="1" fieldPosition="0"/>
    </format>
    <format dxfId="144">
      <pivotArea field="9" type="button" dataOnly="0" labelOnly="1" outline="0" axis="axisRow" fieldPosition="0"/>
    </format>
    <format dxfId="143">
      <pivotArea field="-2" type="button" dataOnly="0" labelOnly="1" outline="0" axis="axisRow" fieldPosition="1"/>
    </format>
    <format dxfId="142">
      <pivotArea type="topRight" dataOnly="0" labelOnly="1" outline="0" fieldPosition="0"/>
    </format>
    <format dxfId="141">
      <pivotArea dataOnly="0" labelOnly="1" fieldPosition="0">
        <references count="1">
          <reference field="9" count="0"/>
        </references>
      </pivotArea>
    </format>
    <format dxfId="140">
      <pivotArea type="all" dataOnly="0" outline="0" fieldPosition="0"/>
    </format>
    <format dxfId="139">
      <pivotArea outline="0" collapsedLevelsAreSubtotals="1" fieldPosition="0"/>
    </format>
    <format dxfId="138">
      <pivotArea field="9" type="button" dataOnly="0" labelOnly="1" outline="0" axis="axisRow" fieldPosition="0"/>
    </format>
    <format dxfId="137">
      <pivotArea field="-2" type="button" dataOnly="0" labelOnly="1" outline="0" axis="axisRow" fieldPosition="1"/>
    </format>
    <format dxfId="136">
      <pivotArea type="topRight" dataOnly="0" labelOnly="1" outline="0" fieldPosition="0"/>
    </format>
    <format dxfId="135">
      <pivotArea dataOnly="0" labelOnly="1" fieldPosition="0">
        <references count="1">
          <reference field="9" count="0"/>
        </references>
      </pivotArea>
    </format>
    <format dxfId="134">
      <pivotArea dataOnly="0" labelOnly="1" fieldPosition="0">
        <references count="1">
          <reference field="9" count="0"/>
        </references>
      </pivotArea>
    </format>
    <format dxfId="133">
      <pivotArea outline="0" fieldPosition="0">
        <references count="1">
          <reference field="4294967294" count="1">
            <x v="0"/>
          </reference>
        </references>
      </pivotArea>
    </format>
    <format dxfId="132">
      <pivotArea outline="0" fieldPosition="0">
        <references count="1">
          <reference field="4294967294" count="1">
            <x v="1"/>
          </reference>
        </references>
      </pivotArea>
    </format>
    <format dxfId="131">
      <pivotArea outline="0" fieldPosition="0">
        <references count="1">
          <reference field="4294967294" count="1">
            <x v="2"/>
          </reference>
        </references>
      </pivotArea>
    </format>
  </formats>
  <chartFormats count="285">
    <chartFormat chart="5" format="174" series="1">
      <pivotArea type="data" outline="0" fieldPosition="0">
        <references count="2">
          <reference field="4294967294" count="1" selected="0">
            <x v="0"/>
          </reference>
          <reference field="9" count="1" selected="0">
            <x v="0"/>
          </reference>
        </references>
      </pivotArea>
    </chartFormat>
    <chartFormat chart="5" format="175">
      <pivotArea type="data" outline="0" fieldPosition="0">
        <references count="2">
          <reference field="4294967294" count="1" selected="0">
            <x v="0"/>
          </reference>
          <reference field="9" count="1" selected="0">
            <x v="0"/>
          </reference>
        </references>
      </pivotArea>
    </chartFormat>
    <chartFormat chart="5" format="176" series="1">
      <pivotArea type="data" outline="0" fieldPosition="0">
        <references count="2">
          <reference field="4294967294" count="1" selected="0">
            <x v="1"/>
          </reference>
          <reference field="9" count="1" selected="0">
            <x v="0"/>
          </reference>
        </references>
      </pivotArea>
    </chartFormat>
    <chartFormat chart="5" format="177">
      <pivotArea type="data" outline="0" fieldPosition="0">
        <references count="2">
          <reference field="4294967294" count="1" selected="0">
            <x v="1"/>
          </reference>
          <reference field="9" count="1" selected="0">
            <x v="0"/>
          </reference>
        </references>
      </pivotArea>
    </chartFormat>
    <chartFormat chart="5" format="178" series="1">
      <pivotArea type="data" outline="0" fieldPosition="0">
        <references count="2">
          <reference field="4294967294" count="1" selected="0">
            <x v="2"/>
          </reference>
          <reference field="9" count="1" selected="0">
            <x v="0"/>
          </reference>
        </references>
      </pivotArea>
    </chartFormat>
    <chartFormat chart="5" format="179">
      <pivotArea type="data" outline="0" fieldPosition="0">
        <references count="2">
          <reference field="4294967294" count="1" selected="0">
            <x v="2"/>
          </reference>
          <reference field="9" count="1" selected="0">
            <x v="0"/>
          </reference>
        </references>
      </pivotArea>
    </chartFormat>
    <chartFormat chart="5" format="180" series="1">
      <pivotArea type="data" outline="0" fieldPosition="0">
        <references count="2">
          <reference field="4294967294" count="1" selected="0">
            <x v="0"/>
          </reference>
          <reference field="9" count="1" selected="0">
            <x v="1"/>
          </reference>
        </references>
      </pivotArea>
    </chartFormat>
    <chartFormat chart="5" format="181" series="1">
      <pivotArea type="data" outline="0" fieldPosition="0">
        <references count="2">
          <reference field="4294967294" count="1" selected="0">
            <x v="1"/>
          </reference>
          <reference field="9" count="1" selected="0">
            <x v="1"/>
          </reference>
        </references>
      </pivotArea>
    </chartFormat>
    <chartFormat chart="5" format="182" series="1">
      <pivotArea type="data" outline="0" fieldPosition="0">
        <references count="2">
          <reference field="4294967294" count="1" selected="0">
            <x v="2"/>
          </reference>
          <reference field="9" count="1" selected="0">
            <x v="1"/>
          </reference>
        </references>
      </pivotArea>
    </chartFormat>
    <chartFormat chart="5" format="183" series="1">
      <pivotArea type="data" outline="0" fieldPosition="0">
        <references count="2">
          <reference field="4294967294" count="1" selected="0">
            <x v="0"/>
          </reference>
          <reference field="9" count="1" selected="0">
            <x v="2"/>
          </reference>
        </references>
      </pivotArea>
    </chartFormat>
    <chartFormat chart="5" format="184" series="1">
      <pivotArea type="data" outline="0" fieldPosition="0">
        <references count="2">
          <reference field="4294967294" count="1" selected="0">
            <x v="1"/>
          </reference>
          <reference field="9" count="1" selected="0">
            <x v="2"/>
          </reference>
        </references>
      </pivotArea>
    </chartFormat>
    <chartFormat chart="5" format="185" series="1">
      <pivotArea type="data" outline="0" fieldPosition="0">
        <references count="2">
          <reference field="4294967294" count="1" selected="0">
            <x v="2"/>
          </reference>
          <reference field="9" count="1" selected="0">
            <x v="2"/>
          </reference>
        </references>
      </pivotArea>
    </chartFormat>
    <chartFormat chart="5" format="186" series="1">
      <pivotArea type="data" outline="0" fieldPosition="0">
        <references count="2">
          <reference field="4294967294" count="1" selected="0">
            <x v="0"/>
          </reference>
          <reference field="9" count="1" selected="0">
            <x v="3"/>
          </reference>
        </references>
      </pivotArea>
    </chartFormat>
    <chartFormat chart="5" format="187" series="1">
      <pivotArea type="data" outline="0" fieldPosition="0">
        <references count="2">
          <reference field="4294967294" count="1" selected="0">
            <x v="1"/>
          </reference>
          <reference field="9" count="1" selected="0">
            <x v="3"/>
          </reference>
        </references>
      </pivotArea>
    </chartFormat>
    <chartFormat chart="5" format="188" series="1">
      <pivotArea type="data" outline="0" fieldPosition="0">
        <references count="2">
          <reference field="4294967294" count="1" selected="0">
            <x v="2"/>
          </reference>
          <reference field="9" count="1" selected="0">
            <x v="3"/>
          </reference>
        </references>
      </pivotArea>
    </chartFormat>
    <chartFormat chart="5" format="189" series="1">
      <pivotArea type="data" outline="0" fieldPosition="0">
        <references count="2">
          <reference field="4294967294" count="1" selected="0">
            <x v="0"/>
          </reference>
          <reference field="9" count="1" selected="0">
            <x v="4"/>
          </reference>
        </references>
      </pivotArea>
    </chartFormat>
    <chartFormat chart="5" format="190" series="1">
      <pivotArea type="data" outline="0" fieldPosition="0">
        <references count="2">
          <reference field="4294967294" count="1" selected="0">
            <x v="1"/>
          </reference>
          <reference field="9" count="1" selected="0">
            <x v="4"/>
          </reference>
        </references>
      </pivotArea>
    </chartFormat>
    <chartFormat chart="5" format="191" series="1">
      <pivotArea type="data" outline="0" fieldPosition="0">
        <references count="2">
          <reference field="4294967294" count="1" selected="0">
            <x v="2"/>
          </reference>
          <reference field="9" count="1" selected="0">
            <x v="4"/>
          </reference>
        </references>
      </pivotArea>
    </chartFormat>
    <chartFormat chart="5" format="192" series="1">
      <pivotArea type="data" outline="0" fieldPosition="0">
        <references count="2">
          <reference field="4294967294" count="1" selected="0">
            <x v="0"/>
          </reference>
          <reference field="9" count="1" selected="0">
            <x v="5"/>
          </reference>
        </references>
      </pivotArea>
    </chartFormat>
    <chartFormat chart="5" format="193" series="1">
      <pivotArea type="data" outline="0" fieldPosition="0">
        <references count="2">
          <reference field="4294967294" count="1" selected="0">
            <x v="1"/>
          </reference>
          <reference field="9" count="1" selected="0">
            <x v="5"/>
          </reference>
        </references>
      </pivotArea>
    </chartFormat>
    <chartFormat chart="5" format="194" series="1">
      <pivotArea type="data" outline="0" fieldPosition="0">
        <references count="2">
          <reference field="4294967294" count="1" selected="0">
            <x v="2"/>
          </reference>
          <reference field="9" count="1" selected="0">
            <x v="5"/>
          </reference>
        </references>
      </pivotArea>
    </chartFormat>
    <chartFormat chart="5" format="195" series="1">
      <pivotArea type="data" outline="0" fieldPosition="0">
        <references count="2">
          <reference field="4294967294" count="1" selected="0">
            <x v="0"/>
          </reference>
          <reference field="9" count="1" selected="0">
            <x v="6"/>
          </reference>
        </references>
      </pivotArea>
    </chartFormat>
    <chartFormat chart="5" format="196" series="1">
      <pivotArea type="data" outline="0" fieldPosition="0">
        <references count="2">
          <reference field="4294967294" count="1" selected="0">
            <x v="1"/>
          </reference>
          <reference field="9" count="1" selected="0">
            <x v="6"/>
          </reference>
        </references>
      </pivotArea>
    </chartFormat>
    <chartFormat chart="5" format="197" series="1">
      <pivotArea type="data" outline="0" fieldPosition="0">
        <references count="2">
          <reference field="4294967294" count="1" selected="0">
            <x v="2"/>
          </reference>
          <reference field="9" count="1" selected="0">
            <x v="6"/>
          </reference>
        </references>
      </pivotArea>
    </chartFormat>
    <chartFormat chart="5" format="198" series="1">
      <pivotArea type="data" outline="0" fieldPosition="0">
        <references count="2">
          <reference field="4294967294" count="1" selected="0">
            <x v="0"/>
          </reference>
          <reference field="9" count="1" selected="0">
            <x v="7"/>
          </reference>
        </references>
      </pivotArea>
    </chartFormat>
    <chartFormat chart="5" format="199" series="1">
      <pivotArea type="data" outline="0" fieldPosition="0">
        <references count="2">
          <reference field="4294967294" count="1" selected="0">
            <x v="1"/>
          </reference>
          <reference field="9" count="1" selected="0">
            <x v="7"/>
          </reference>
        </references>
      </pivotArea>
    </chartFormat>
    <chartFormat chart="5" format="200" series="1">
      <pivotArea type="data" outline="0" fieldPosition="0">
        <references count="2">
          <reference field="4294967294" count="1" selected="0">
            <x v="2"/>
          </reference>
          <reference field="9" count="1" selected="0">
            <x v="7"/>
          </reference>
        </references>
      </pivotArea>
    </chartFormat>
    <chartFormat chart="5" format="201" series="1">
      <pivotArea type="data" outline="0" fieldPosition="0">
        <references count="2">
          <reference field="4294967294" count="1" selected="0">
            <x v="0"/>
          </reference>
          <reference field="9" count="1" selected="0">
            <x v="8"/>
          </reference>
        </references>
      </pivotArea>
    </chartFormat>
    <chartFormat chart="5" format="202" series="1">
      <pivotArea type="data" outline="0" fieldPosition="0">
        <references count="2">
          <reference field="4294967294" count="1" selected="0">
            <x v="1"/>
          </reference>
          <reference field="9" count="1" selected="0">
            <x v="8"/>
          </reference>
        </references>
      </pivotArea>
    </chartFormat>
    <chartFormat chart="5" format="203" series="1">
      <pivotArea type="data" outline="0" fieldPosition="0">
        <references count="2">
          <reference field="4294967294" count="1" selected="0">
            <x v="2"/>
          </reference>
          <reference field="9" count="1" selected="0">
            <x v="8"/>
          </reference>
        </references>
      </pivotArea>
    </chartFormat>
    <chartFormat chart="5" format="204" series="1">
      <pivotArea type="data" outline="0" fieldPosition="0">
        <references count="2">
          <reference field="4294967294" count="1" selected="0">
            <x v="0"/>
          </reference>
          <reference field="9" count="1" selected="0">
            <x v="9"/>
          </reference>
        </references>
      </pivotArea>
    </chartFormat>
    <chartFormat chart="5" format="205" series="1">
      <pivotArea type="data" outline="0" fieldPosition="0">
        <references count="2">
          <reference field="4294967294" count="1" selected="0">
            <x v="1"/>
          </reference>
          <reference field="9" count="1" selected="0">
            <x v="9"/>
          </reference>
        </references>
      </pivotArea>
    </chartFormat>
    <chartFormat chart="5" format="206" series="1">
      <pivotArea type="data" outline="0" fieldPosition="0">
        <references count="2">
          <reference field="4294967294" count="1" selected="0">
            <x v="2"/>
          </reference>
          <reference field="9" count="1" selected="0">
            <x v="9"/>
          </reference>
        </references>
      </pivotArea>
    </chartFormat>
    <chartFormat chart="5" format="207" series="1">
      <pivotArea type="data" outline="0" fieldPosition="0">
        <references count="2">
          <reference field="4294967294" count="1" selected="0">
            <x v="0"/>
          </reference>
          <reference field="9" count="1" selected="0">
            <x v="10"/>
          </reference>
        </references>
      </pivotArea>
    </chartFormat>
    <chartFormat chart="5" format="208" series="1">
      <pivotArea type="data" outline="0" fieldPosition="0">
        <references count="2">
          <reference field="4294967294" count="1" selected="0">
            <x v="1"/>
          </reference>
          <reference field="9" count="1" selected="0">
            <x v="10"/>
          </reference>
        </references>
      </pivotArea>
    </chartFormat>
    <chartFormat chart="5" format="209" series="1">
      <pivotArea type="data" outline="0" fieldPosition="0">
        <references count="2">
          <reference field="4294967294" count="1" selected="0">
            <x v="2"/>
          </reference>
          <reference field="9" count="1" selected="0">
            <x v="10"/>
          </reference>
        </references>
      </pivotArea>
    </chartFormat>
    <chartFormat chart="5" format="210" series="1">
      <pivotArea type="data" outline="0" fieldPosition="0">
        <references count="2">
          <reference field="4294967294" count="1" selected="0">
            <x v="0"/>
          </reference>
          <reference field="9" count="1" selected="0">
            <x v="11"/>
          </reference>
        </references>
      </pivotArea>
    </chartFormat>
    <chartFormat chart="5" format="211" series="1">
      <pivotArea type="data" outline="0" fieldPosition="0">
        <references count="2">
          <reference field="4294967294" count="1" selected="0">
            <x v="1"/>
          </reference>
          <reference field="9" count="1" selected="0">
            <x v="11"/>
          </reference>
        </references>
      </pivotArea>
    </chartFormat>
    <chartFormat chart="5" format="212" series="1">
      <pivotArea type="data" outline="0" fieldPosition="0">
        <references count="2">
          <reference field="4294967294" count="1" selected="0">
            <x v="2"/>
          </reference>
          <reference field="9" count="1" selected="0">
            <x v="11"/>
          </reference>
        </references>
      </pivotArea>
    </chartFormat>
    <chartFormat chart="5" format="213">
      <pivotArea type="data" outline="0" fieldPosition="0">
        <references count="2">
          <reference field="4294967294" count="1" selected="0">
            <x v="0"/>
          </reference>
          <reference field="9" count="1" selected="0">
            <x v="4"/>
          </reference>
        </references>
      </pivotArea>
    </chartFormat>
    <chartFormat chart="5" format="214">
      <pivotArea type="data" outline="0" fieldPosition="0">
        <references count="2">
          <reference field="4294967294" count="1" selected="0">
            <x v="1"/>
          </reference>
          <reference field="9" count="1" selected="0">
            <x v="4"/>
          </reference>
        </references>
      </pivotArea>
    </chartFormat>
    <chartFormat chart="5" format="215">
      <pivotArea type="data" outline="0" fieldPosition="0">
        <references count="2">
          <reference field="4294967294" count="1" selected="0">
            <x v="2"/>
          </reference>
          <reference field="9" count="1" selected="0">
            <x v="4"/>
          </reference>
        </references>
      </pivotArea>
    </chartFormat>
    <chartFormat chart="5" format="216">
      <pivotArea type="data" outline="0" fieldPosition="0">
        <references count="2">
          <reference field="4294967294" count="1" selected="0">
            <x v="0"/>
          </reference>
          <reference field="9" count="1" selected="0">
            <x v="8"/>
          </reference>
        </references>
      </pivotArea>
    </chartFormat>
    <chartFormat chart="5" format="217">
      <pivotArea type="data" outline="0" fieldPosition="0">
        <references count="2">
          <reference field="4294967294" count="1" selected="0">
            <x v="1"/>
          </reference>
          <reference field="9" count="1" selected="0">
            <x v="8"/>
          </reference>
        </references>
      </pivotArea>
    </chartFormat>
    <chartFormat chart="5" format="218">
      <pivotArea type="data" outline="0" fieldPosition="0">
        <references count="2">
          <reference field="4294967294" count="1" selected="0">
            <x v="2"/>
          </reference>
          <reference field="9" count="1" selected="0">
            <x v="8"/>
          </reference>
        </references>
      </pivotArea>
    </chartFormat>
    <chartFormat chart="5" format="219">
      <pivotArea type="data" outline="0" fieldPosition="0">
        <references count="2">
          <reference field="4294967294" count="1" selected="0">
            <x v="2"/>
          </reference>
          <reference field="9" count="1" selected="0">
            <x v="9"/>
          </reference>
        </references>
      </pivotArea>
    </chartFormat>
    <chartFormat chart="5" format="220">
      <pivotArea type="data" outline="0" fieldPosition="0">
        <references count="2">
          <reference field="4294967294" count="1" selected="0">
            <x v="2"/>
          </reference>
          <reference field="9" count="1" selected="0">
            <x v="3"/>
          </reference>
        </references>
      </pivotArea>
    </chartFormat>
    <chartFormat chart="5" format="221">
      <pivotArea type="data" outline="0" fieldPosition="0">
        <references count="2">
          <reference field="4294967294" count="1" selected="0">
            <x v="2"/>
          </reference>
          <reference field="9" count="1" selected="0">
            <x v="6"/>
          </reference>
        </references>
      </pivotArea>
    </chartFormat>
    <chartFormat chart="5" format="222">
      <pivotArea type="data" outline="0" fieldPosition="0">
        <references count="2">
          <reference field="4294967294" count="1" selected="0">
            <x v="2"/>
          </reference>
          <reference field="9" count="1" selected="0">
            <x v="5"/>
          </reference>
        </references>
      </pivotArea>
    </chartFormat>
    <chartFormat chart="5" format="223">
      <pivotArea type="data" outline="0" fieldPosition="0">
        <references count="2">
          <reference field="4294967294" count="1" selected="0">
            <x v="2"/>
          </reference>
          <reference field="9" count="1" selected="0">
            <x v="11"/>
          </reference>
        </references>
      </pivotArea>
    </chartFormat>
    <chartFormat chart="5" format="224">
      <pivotArea type="data" outline="0" fieldPosition="0">
        <references count="2">
          <reference field="4294967294" count="1" selected="0">
            <x v="2"/>
          </reference>
          <reference field="9" count="1" selected="0">
            <x v="1"/>
          </reference>
        </references>
      </pivotArea>
    </chartFormat>
    <chartFormat chart="5" format="225">
      <pivotArea type="data" outline="0" fieldPosition="0">
        <references count="2">
          <reference field="4294967294" count="1" selected="0">
            <x v="2"/>
          </reference>
          <reference field="9" count="1" selected="0">
            <x v="7"/>
          </reference>
        </references>
      </pivotArea>
    </chartFormat>
    <chartFormat chart="5" format="226">
      <pivotArea type="data" outline="0" fieldPosition="0">
        <references count="2">
          <reference field="4294967294" count="1" selected="0">
            <x v="2"/>
          </reference>
          <reference field="9" count="1" selected="0">
            <x v="2"/>
          </reference>
        </references>
      </pivotArea>
    </chartFormat>
    <chartFormat chart="5" format="227">
      <pivotArea type="data" outline="0" fieldPosition="0">
        <references count="2">
          <reference field="4294967294" count="1" selected="0">
            <x v="2"/>
          </reference>
          <reference field="9" count="1" selected="0">
            <x v="10"/>
          </reference>
        </references>
      </pivotArea>
    </chartFormat>
    <chartFormat chart="5" format="228" series="1">
      <pivotArea type="data" outline="0" fieldPosition="0">
        <references count="1">
          <reference field="4294967294" count="1" selected="0">
            <x v="0"/>
          </reference>
        </references>
      </pivotArea>
    </chartFormat>
    <chartFormat chart="5" format="229" series="1">
      <pivotArea type="data" outline="0" fieldPosition="0">
        <references count="1">
          <reference field="4294967294" count="1" selected="0">
            <x v="1"/>
          </reference>
        </references>
      </pivotArea>
    </chartFormat>
    <chartFormat chart="5" format="230" series="1">
      <pivotArea type="data" outline="0" fieldPosition="0">
        <references count="1">
          <reference field="4294967294" count="1" selected="0">
            <x v="2"/>
          </reference>
        </references>
      </pivotArea>
    </chartFormat>
    <chartFormat chart="5" format="483" series="1">
      <pivotArea type="data" outline="0" fieldPosition="0">
        <references count="3">
          <reference field="4294967294" count="1" selected="0">
            <x v="0"/>
          </reference>
          <reference field="17" count="1" selected="0">
            <x v="3"/>
          </reference>
          <reference field="18" count="1" selected="0">
            <x v="1"/>
          </reference>
        </references>
      </pivotArea>
    </chartFormat>
    <chartFormat chart="5" format="484" series="1">
      <pivotArea type="data" outline="0" fieldPosition="0">
        <references count="3">
          <reference field="4294967294" count="1" selected="0">
            <x v="0"/>
          </reference>
          <reference field="17" count="1" selected="0">
            <x v="4"/>
          </reference>
          <reference field="18" count="1" selected="0">
            <x v="1"/>
          </reference>
        </references>
      </pivotArea>
    </chartFormat>
    <chartFormat chart="5" format="485" series="1">
      <pivotArea type="data" outline="0" fieldPosition="0">
        <references count="3">
          <reference field="4294967294" count="1" selected="0">
            <x v="0"/>
          </reference>
          <reference field="17" count="1" selected="0">
            <x v="5"/>
          </reference>
          <reference field="18" count="1" selected="0">
            <x v="1"/>
          </reference>
        </references>
      </pivotArea>
    </chartFormat>
    <chartFormat chart="5" format="486" series="1">
      <pivotArea type="data" outline="0" fieldPosition="0">
        <references count="3">
          <reference field="4294967294" count="1" selected="0">
            <x v="0"/>
          </reference>
          <reference field="17" count="1" selected="0">
            <x v="6"/>
          </reference>
          <reference field="18" count="1" selected="0">
            <x v="1"/>
          </reference>
        </references>
      </pivotArea>
    </chartFormat>
    <chartFormat chart="5" format="487" series="1">
      <pivotArea type="data" outline="0" fieldPosition="0">
        <references count="3">
          <reference field="4294967294" count="1" selected="0">
            <x v="0"/>
          </reference>
          <reference field="17" count="1" selected="0">
            <x v="7"/>
          </reference>
          <reference field="18" count="1" selected="0">
            <x v="1"/>
          </reference>
        </references>
      </pivotArea>
    </chartFormat>
    <chartFormat chart="5" format="488" series="1">
      <pivotArea type="data" outline="0" fieldPosition="0">
        <references count="3">
          <reference field="4294967294" count="1" selected="0">
            <x v="0"/>
          </reference>
          <reference field="17" count="1" selected="0">
            <x v="8"/>
          </reference>
          <reference field="18" count="1" selected="0">
            <x v="1"/>
          </reference>
        </references>
      </pivotArea>
    </chartFormat>
    <chartFormat chart="5" format="489" series="1">
      <pivotArea type="data" outline="0" fieldPosition="0">
        <references count="3">
          <reference field="4294967294" count="1" selected="0">
            <x v="0"/>
          </reference>
          <reference field="17" count="1" selected="0">
            <x v="9"/>
          </reference>
          <reference field="18" count="1" selected="0">
            <x v="1"/>
          </reference>
        </references>
      </pivotArea>
    </chartFormat>
    <chartFormat chart="5" format="490" series="1">
      <pivotArea type="data" outline="0" fieldPosition="0">
        <references count="3">
          <reference field="4294967294" count="1" selected="0">
            <x v="0"/>
          </reference>
          <reference field="17" count="1" selected="0">
            <x v="10"/>
          </reference>
          <reference field="18" count="1" selected="0">
            <x v="1"/>
          </reference>
        </references>
      </pivotArea>
    </chartFormat>
    <chartFormat chart="5" format="491" series="1">
      <pivotArea type="data" outline="0" fieldPosition="0">
        <references count="3">
          <reference field="4294967294" count="1" selected="0">
            <x v="0"/>
          </reference>
          <reference field="17" count="1" selected="0">
            <x v="11"/>
          </reference>
          <reference field="18" count="1" selected="0">
            <x v="1"/>
          </reference>
        </references>
      </pivotArea>
    </chartFormat>
    <chartFormat chart="5" format="492" series="1">
      <pivotArea type="data" outline="0" fieldPosition="0">
        <references count="3">
          <reference field="4294967294" count="1" selected="0">
            <x v="0"/>
          </reference>
          <reference field="17" count="1" selected="0">
            <x v="12"/>
          </reference>
          <reference field="18" count="1" selected="0">
            <x v="1"/>
          </reference>
        </references>
      </pivotArea>
    </chartFormat>
    <chartFormat chart="5" format="494" series="1">
      <pivotArea type="data" outline="0" fieldPosition="0">
        <references count="3">
          <reference field="4294967294" count="1" selected="0">
            <x v="0"/>
          </reference>
          <reference field="17" count="1" selected="0">
            <x v="1"/>
          </reference>
          <reference field="18" count="1" selected="0">
            <x v="1"/>
          </reference>
        </references>
      </pivotArea>
    </chartFormat>
    <chartFormat chart="5" format="495">
      <pivotArea type="data" outline="0" fieldPosition="0">
        <references count="4">
          <reference field="4294967294" count="1" selected="0">
            <x v="2"/>
          </reference>
          <reference field="9" count="1" selected="0">
            <x v="11"/>
          </reference>
          <reference field="17" count="1" selected="0">
            <x v="1"/>
          </reference>
          <reference field="18" count="1" selected="0">
            <x v="1"/>
          </reference>
        </references>
      </pivotArea>
    </chartFormat>
    <chartFormat chart="5" format="496" series="1">
      <pivotArea type="data" outline="0" fieldPosition="0">
        <references count="3">
          <reference field="4294967294" count="1" selected="0">
            <x v="0"/>
          </reference>
          <reference field="17" count="1" selected="0">
            <x v="2"/>
          </reference>
          <reference field="18" count="1" selected="0">
            <x v="1"/>
          </reference>
        </references>
      </pivotArea>
    </chartFormat>
    <chartFormat chart="5" format="497">
      <pivotArea type="data" outline="0" fieldPosition="0">
        <references count="4">
          <reference field="4294967294" count="1" selected="0">
            <x v="2"/>
          </reference>
          <reference field="9" count="1" selected="0">
            <x v="11"/>
          </reference>
          <reference field="17" count="1" selected="0">
            <x v="2"/>
          </reference>
          <reference field="18" count="1" selected="0">
            <x v="1"/>
          </reference>
        </references>
      </pivotArea>
    </chartFormat>
    <chartFormat chart="5" format="498">
      <pivotArea type="data" outline="0" fieldPosition="0">
        <references count="4">
          <reference field="4294967294" count="1" selected="0">
            <x v="2"/>
          </reference>
          <reference field="9" count="1" selected="0">
            <x v="11"/>
          </reference>
          <reference field="17" count="1" selected="0">
            <x v="3"/>
          </reference>
          <reference field="18" count="1" selected="0">
            <x v="1"/>
          </reference>
        </references>
      </pivotArea>
    </chartFormat>
    <chartFormat chart="5" format="499">
      <pivotArea type="data" outline="0" fieldPosition="0">
        <references count="4">
          <reference field="4294967294" count="1" selected="0">
            <x v="2"/>
          </reference>
          <reference field="9" count="1" selected="0">
            <x v="11"/>
          </reference>
          <reference field="17" count="1" selected="0">
            <x v="4"/>
          </reference>
          <reference field="18" count="1" selected="0">
            <x v="1"/>
          </reference>
        </references>
      </pivotArea>
    </chartFormat>
    <chartFormat chart="5" format="500">
      <pivotArea type="data" outline="0" fieldPosition="0">
        <references count="4">
          <reference field="4294967294" count="1" selected="0">
            <x v="2"/>
          </reference>
          <reference field="9" count="1" selected="0">
            <x v="11"/>
          </reference>
          <reference field="17" count="1" selected="0">
            <x v="5"/>
          </reference>
          <reference field="18" count="1" selected="0">
            <x v="1"/>
          </reference>
        </references>
      </pivotArea>
    </chartFormat>
    <chartFormat chart="5" format="501">
      <pivotArea type="data" outline="0" fieldPosition="0">
        <references count="4">
          <reference field="4294967294" count="1" selected="0">
            <x v="2"/>
          </reference>
          <reference field="9" count="1" selected="0">
            <x v="11"/>
          </reference>
          <reference field="17" count="1" selected="0">
            <x v="6"/>
          </reference>
          <reference field="18" count="1" selected="0">
            <x v="1"/>
          </reference>
        </references>
      </pivotArea>
    </chartFormat>
    <chartFormat chart="5" format="502">
      <pivotArea type="data" outline="0" fieldPosition="0">
        <references count="4">
          <reference field="4294967294" count="1" selected="0">
            <x v="2"/>
          </reference>
          <reference field="9" count="1" selected="0">
            <x v="11"/>
          </reference>
          <reference field="17" count="1" selected="0">
            <x v="7"/>
          </reference>
          <reference field="18" count="1" selected="0">
            <x v="1"/>
          </reference>
        </references>
      </pivotArea>
    </chartFormat>
    <chartFormat chart="5" format="503">
      <pivotArea type="data" outline="0" fieldPosition="0">
        <references count="4">
          <reference field="4294967294" count="1" selected="0">
            <x v="2"/>
          </reference>
          <reference field="9" count="1" selected="0">
            <x v="11"/>
          </reference>
          <reference field="17" count="1" selected="0">
            <x v="8"/>
          </reference>
          <reference field="18" count="1" selected="0">
            <x v="1"/>
          </reference>
        </references>
      </pivotArea>
    </chartFormat>
    <chartFormat chart="5" format="504">
      <pivotArea type="data" outline="0" fieldPosition="0">
        <references count="4">
          <reference field="4294967294" count="1" selected="0">
            <x v="2"/>
          </reference>
          <reference field="9" count="1" selected="0">
            <x v="11"/>
          </reference>
          <reference field="17" count="1" selected="0">
            <x v="9"/>
          </reference>
          <reference field="18" count="1" selected="0">
            <x v="1"/>
          </reference>
        </references>
      </pivotArea>
    </chartFormat>
    <chartFormat chart="5" format="505">
      <pivotArea type="data" outline="0" fieldPosition="0">
        <references count="4">
          <reference field="4294967294" count="1" selected="0">
            <x v="2"/>
          </reference>
          <reference field="9" count="1" selected="0">
            <x v="11"/>
          </reference>
          <reference field="17" count="1" selected="0">
            <x v="10"/>
          </reference>
          <reference field="18" count="1" selected="0">
            <x v="1"/>
          </reference>
        </references>
      </pivotArea>
    </chartFormat>
    <chartFormat chart="5" format="506">
      <pivotArea type="data" outline="0" fieldPosition="0">
        <references count="4">
          <reference field="4294967294" count="1" selected="0">
            <x v="2"/>
          </reference>
          <reference field="9" count="1" selected="0">
            <x v="11"/>
          </reference>
          <reference field="17" count="1" selected="0">
            <x v="11"/>
          </reference>
          <reference field="18" count="1" selected="0">
            <x v="1"/>
          </reference>
        </references>
      </pivotArea>
    </chartFormat>
    <chartFormat chart="5" format="507">
      <pivotArea type="data" outline="0" fieldPosition="0">
        <references count="4">
          <reference field="4294967294" count="1" selected="0">
            <x v="2"/>
          </reference>
          <reference field="9" count="1" selected="0">
            <x v="11"/>
          </reference>
          <reference field="17" count="1" selected="0">
            <x v="12"/>
          </reference>
          <reference field="18" count="1" selected="0">
            <x v="1"/>
          </reference>
        </references>
      </pivotArea>
    </chartFormat>
    <chartFormat chart="5" format="509">
      <pivotArea type="data" outline="0" fieldPosition="0">
        <references count="4">
          <reference field="4294967294" count="1" selected="0">
            <x v="2"/>
          </reference>
          <reference field="9" count="1" selected="0">
            <x v="10"/>
          </reference>
          <reference field="17" count="1" selected="0">
            <x v="1"/>
          </reference>
          <reference field="18" count="1" selected="0">
            <x v="1"/>
          </reference>
        </references>
      </pivotArea>
    </chartFormat>
    <chartFormat chart="5" format="510">
      <pivotArea type="data" outline="0" fieldPosition="0">
        <references count="4">
          <reference field="4294967294" count="1" selected="0">
            <x v="2"/>
          </reference>
          <reference field="9" count="1" selected="0">
            <x v="10"/>
          </reference>
          <reference field="17" count="1" selected="0">
            <x v="2"/>
          </reference>
          <reference field="18" count="1" selected="0">
            <x v="1"/>
          </reference>
        </references>
      </pivotArea>
    </chartFormat>
    <chartFormat chart="5" format="511">
      <pivotArea type="data" outline="0" fieldPosition="0">
        <references count="4">
          <reference field="4294967294" count="1" selected="0">
            <x v="2"/>
          </reference>
          <reference field="9" count="1" selected="0">
            <x v="10"/>
          </reference>
          <reference field="17" count="1" selected="0">
            <x v="3"/>
          </reference>
          <reference field="18" count="1" selected="0">
            <x v="1"/>
          </reference>
        </references>
      </pivotArea>
    </chartFormat>
    <chartFormat chart="5" format="512">
      <pivotArea type="data" outline="0" fieldPosition="0">
        <references count="4">
          <reference field="4294967294" count="1" selected="0">
            <x v="2"/>
          </reference>
          <reference field="9" count="1" selected="0">
            <x v="10"/>
          </reference>
          <reference field="17" count="1" selected="0">
            <x v="4"/>
          </reference>
          <reference field="18" count="1" selected="0">
            <x v="1"/>
          </reference>
        </references>
      </pivotArea>
    </chartFormat>
    <chartFormat chart="5" format="513">
      <pivotArea type="data" outline="0" fieldPosition="0">
        <references count="4">
          <reference field="4294967294" count="1" selected="0">
            <x v="2"/>
          </reference>
          <reference field="9" count="1" selected="0">
            <x v="10"/>
          </reference>
          <reference field="17" count="1" selected="0">
            <x v="5"/>
          </reference>
          <reference field="18" count="1" selected="0">
            <x v="1"/>
          </reference>
        </references>
      </pivotArea>
    </chartFormat>
    <chartFormat chart="5" format="514">
      <pivotArea type="data" outline="0" fieldPosition="0">
        <references count="4">
          <reference field="4294967294" count="1" selected="0">
            <x v="2"/>
          </reference>
          <reference field="9" count="1" selected="0">
            <x v="10"/>
          </reference>
          <reference field="17" count="1" selected="0">
            <x v="6"/>
          </reference>
          <reference field="18" count="1" selected="0">
            <x v="1"/>
          </reference>
        </references>
      </pivotArea>
    </chartFormat>
    <chartFormat chart="5" format="515">
      <pivotArea type="data" outline="0" fieldPosition="0">
        <references count="4">
          <reference field="4294967294" count="1" selected="0">
            <x v="2"/>
          </reference>
          <reference field="9" count="1" selected="0">
            <x v="10"/>
          </reference>
          <reference field="17" count="1" selected="0">
            <x v="7"/>
          </reference>
          <reference field="18" count="1" selected="0">
            <x v="1"/>
          </reference>
        </references>
      </pivotArea>
    </chartFormat>
    <chartFormat chart="5" format="516">
      <pivotArea type="data" outline="0" fieldPosition="0">
        <references count="4">
          <reference field="4294967294" count="1" selected="0">
            <x v="2"/>
          </reference>
          <reference field="9" count="1" selected="0">
            <x v="10"/>
          </reference>
          <reference field="17" count="1" selected="0">
            <x v="8"/>
          </reference>
          <reference field="18" count="1" selected="0">
            <x v="1"/>
          </reference>
        </references>
      </pivotArea>
    </chartFormat>
    <chartFormat chart="5" format="517">
      <pivotArea type="data" outline="0" fieldPosition="0">
        <references count="4">
          <reference field="4294967294" count="1" selected="0">
            <x v="2"/>
          </reference>
          <reference field="9" count="1" selected="0">
            <x v="10"/>
          </reference>
          <reference field="17" count="1" selected="0">
            <x v="9"/>
          </reference>
          <reference field="18" count="1" selected="0">
            <x v="1"/>
          </reference>
        </references>
      </pivotArea>
    </chartFormat>
    <chartFormat chart="5" format="518">
      <pivotArea type="data" outline="0" fieldPosition="0">
        <references count="4">
          <reference field="4294967294" count="1" selected="0">
            <x v="2"/>
          </reference>
          <reference field="9" count="1" selected="0">
            <x v="10"/>
          </reference>
          <reference field="17" count="1" selected="0">
            <x v="10"/>
          </reference>
          <reference field="18" count="1" selected="0">
            <x v="1"/>
          </reference>
        </references>
      </pivotArea>
    </chartFormat>
    <chartFormat chart="5" format="519">
      <pivotArea type="data" outline="0" fieldPosition="0">
        <references count="4">
          <reference field="4294967294" count="1" selected="0">
            <x v="2"/>
          </reference>
          <reference field="9" count="1" selected="0">
            <x v="10"/>
          </reference>
          <reference field="17" count="1" selected="0">
            <x v="11"/>
          </reference>
          <reference field="18" count="1" selected="0">
            <x v="1"/>
          </reference>
        </references>
      </pivotArea>
    </chartFormat>
    <chartFormat chart="5" format="520">
      <pivotArea type="data" outline="0" fieldPosition="0">
        <references count="4">
          <reference field="4294967294" count="1" selected="0">
            <x v="2"/>
          </reference>
          <reference field="9" count="1" selected="0">
            <x v="10"/>
          </reference>
          <reference field="17" count="1" selected="0">
            <x v="12"/>
          </reference>
          <reference field="18" count="1" selected="0">
            <x v="1"/>
          </reference>
        </references>
      </pivotArea>
    </chartFormat>
    <chartFormat chart="5" format="522">
      <pivotArea type="data" outline="0" fieldPosition="0">
        <references count="4">
          <reference field="4294967294" count="1" selected="0">
            <x v="0"/>
          </reference>
          <reference field="9" count="1" selected="0">
            <x v="0"/>
          </reference>
          <reference field="17" count="1" selected="0">
            <x v="1"/>
          </reference>
          <reference field="18" count="1" selected="0">
            <x v="1"/>
          </reference>
        </references>
      </pivotArea>
    </chartFormat>
    <chartFormat chart="5" format="523">
      <pivotArea type="data" outline="0" fieldPosition="0">
        <references count="4">
          <reference field="4294967294" count="1" selected="0">
            <x v="1"/>
          </reference>
          <reference field="9" count="1" selected="0">
            <x v="0"/>
          </reference>
          <reference field="17" count="1" selected="0">
            <x v="1"/>
          </reference>
          <reference field="18" count="1" selected="0">
            <x v="1"/>
          </reference>
        </references>
      </pivotArea>
    </chartFormat>
    <chartFormat chart="5" format="524">
      <pivotArea type="data" outline="0" fieldPosition="0">
        <references count="4">
          <reference field="4294967294" count="1" selected="0">
            <x v="2"/>
          </reference>
          <reference field="9" count="1" selected="0">
            <x v="0"/>
          </reference>
          <reference field="17" count="1" selected="0">
            <x v="1"/>
          </reference>
          <reference field="18" count="1" selected="0">
            <x v="1"/>
          </reference>
        </references>
      </pivotArea>
    </chartFormat>
    <chartFormat chart="5" format="525">
      <pivotArea type="data" outline="0" fieldPosition="0">
        <references count="4">
          <reference field="4294967294" count="1" selected="0">
            <x v="2"/>
          </reference>
          <reference field="9" count="1" selected="0">
            <x v="1"/>
          </reference>
          <reference field="17" count="1" selected="0">
            <x v="1"/>
          </reference>
          <reference field="18" count="1" selected="0">
            <x v="1"/>
          </reference>
        </references>
      </pivotArea>
    </chartFormat>
    <chartFormat chart="5" format="526">
      <pivotArea type="data" outline="0" fieldPosition="0">
        <references count="4">
          <reference field="4294967294" count="1" selected="0">
            <x v="2"/>
          </reference>
          <reference field="9" count="1" selected="0">
            <x v="2"/>
          </reference>
          <reference field="17" count="1" selected="0">
            <x v="1"/>
          </reference>
          <reference field="18" count="1" selected="0">
            <x v="1"/>
          </reference>
        </references>
      </pivotArea>
    </chartFormat>
    <chartFormat chart="5" format="527">
      <pivotArea type="data" outline="0" fieldPosition="0">
        <references count="4">
          <reference field="4294967294" count="1" selected="0">
            <x v="2"/>
          </reference>
          <reference field="9" count="1" selected="0">
            <x v="3"/>
          </reference>
          <reference field="17" count="1" selected="0">
            <x v="1"/>
          </reference>
          <reference field="18" count="1" selected="0">
            <x v="1"/>
          </reference>
        </references>
      </pivotArea>
    </chartFormat>
    <chartFormat chart="5" format="528">
      <pivotArea type="data" outline="0" fieldPosition="0">
        <references count="4">
          <reference field="4294967294" count="1" selected="0">
            <x v="0"/>
          </reference>
          <reference field="9" count="1" selected="0">
            <x v="4"/>
          </reference>
          <reference field="17" count="1" selected="0">
            <x v="1"/>
          </reference>
          <reference field="18" count="1" selected="0">
            <x v="1"/>
          </reference>
        </references>
      </pivotArea>
    </chartFormat>
    <chartFormat chart="5" format="529">
      <pivotArea type="data" outline="0" fieldPosition="0">
        <references count="4">
          <reference field="4294967294" count="1" selected="0">
            <x v="1"/>
          </reference>
          <reference field="9" count="1" selected="0">
            <x v="4"/>
          </reference>
          <reference field="17" count="1" selected="0">
            <x v="1"/>
          </reference>
          <reference field="18" count="1" selected="0">
            <x v="1"/>
          </reference>
        </references>
      </pivotArea>
    </chartFormat>
    <chartFormat chart="5" format="530">
      <pivotArea type="data" outline="0" fieldPosition="0">
        <references count="4">
          <reference field="4294967294" count="1" selected="0">
            <x v="2"/>
          </reference>
          <reference field="9" count="1" selected="0">
            <x v="4"/>
          </reference>
          <reference field="17" count="1" selected="0">
            <x v="1"/>
          </reference>
          <reference field="18" count="1" selected="0">
            <x v="1"/>
          </reference>
        </references>
      </pivotArea>
    </chartFormat>
    <chartFormat chart="5" format="531">
      <pivotArea type="data" outline="0" fieldPosition="0">
        <references count="4">
          <reference field="4294967294" count="1" selected="0">
            <x v="2"/>
          </reference>
          <reference field="9" count="1" selected="0">
            <x v="5"/>
          </reference>
          <reference field="17" count="1" selected="0">
            <x v="1"/>
          </reference>
          <reference field="18" count="1" selected="0">
            <x v="1"/>
          </reference>
        </references>
      </pivotArea>
    </chartFormat>
    <chartFormat chart="5" format="532">
      <pivotArea type="data" outline="0" fieldPosition="0">
        <references count="4">
          <reference field="4294967294" count="1" selected="0">
            <x v="2"/>
          </reference>
          <reference field="9" count="1" selected="0">
            <x v="6"/>
          </reference>
          <reference field="17" count="1" selected="0">
            <x v="1"/>
          </reference>
          <reference field="18" count="1" selected="0">
            <x v="1"/>
          </reference>
        </references>
      </pivotArea>
    </chartFormat>
    <chartFormat chart="5" format="533">
      <pivotArea type="data" outline="0" fieldPosition="0">
        <references count="4">
          <reference field="4294967294" count="1" selected="0">
            <x v="2"/>
          </reference>
          <reference field="9" count="1" selected="0">
            <x v="7"/>
          </reference>
          <reference field="17" count="1" selected="0">
            <x v="1"/>
          </reference>
          <reference field="18" count="1" selected="0">
            <x v="1"/>
          </reference>
        </references>
      </pivotArea>
    </chartFormat>
    <chartFormat chart="5" format="534">
      <pivotArea type="data" outline="0" fieldPosition="0">
        <references count="4">
          <reference field="4294967294" count="1" selected="0">
            <x v="0"/>
          </reference>
          <reference field="9" count="1" selected="0">
            <x v="8"/>
          </reference>
          <reference field="17" count="1" selected="0">
            <x v="1"/>
          </reference>
          <reference field="18" count="1" selected="0">
            <x v="1"/>
          </reference>
        </references>
      </pivotArea>
    </chartFormat>
    <chartFormat chart="5" format="535">
      <pivotArea type="data" outline="0" fieldPosition="0">
        <references count="4">
          <reference field="4294967294" count="1" selected="0">
            <x v="1"/>
          </reference>
          <reference field="9" count="1" selected="0">
            <x v="8"/>
          </reference>
          <reference field="17" count="1" selected="0">
            <x v="1"/>
          </reference>
          <reference field="18" count="1" selected="0">
            <x v="1"/>
          </reference>
        </references>
      </pivotArea>
    </chartFormat>
    <chartFormat chart="5" format="536">
      <pivotArea type="data" outline="0" fieldPosition="0">
        <references count="4">
          <reference field="4294967294" count="1" selected="0">
            <x v="2"/>
          </reference>
          <reference field="9" count="1" selected="0">
            <x v="8"/>
          </reference>
          <reference field="17" count="1" selected="0">
            <x v="1"/>
          </reference>
          <reference field="18" count="1" selected="0">
            <x v="1"/>
          </reference>
        </references>
      </pivotArea>
    </chartFormat>
    <chartFormat chart="5" format="537">
      <pivotArea type="data" outline="0" fieldPosition="0">
        <references count="4">
          <reference field="4294967294" count="1" selected="0">
            <x v="2"/>
          </reference>
          <reference field="9" count="1" selected="0">
            <x v="9"/>
          </reference>
          <reference field="17" count="1" selected="0">
            <x v="1"/>
          </reference>
          <reference field="18" count="1" selected="0">
            <x v="1"/>
          </reference>
        </references>
      </pivotArea>
    </chartFormat>
    <chartFormat chart="5" format="538">
      <pivotArea type="data" outline="0" fieldPosition="0">
        <references count="4">
          <reference field="4294967294" count="1" selected="0">
            <x v="0"/>
          </reference>
          <reference field="9" count="1" selected="0">
            <x v="0"/>
          </reference>
          <reference field="17" count="1" selected="0">
            <x v="2"/>
          </reference>
          <reference field="18" count="1" selected="0">
            <x v="1"/>
          </reference>
        </references>
      </pivotArea>
    </chartFormat>
    <chartFormat chart="5" format="539">
      <pivotArea type="data" outline="0" fieldPosition="0">
        <references count="4">
          <reference field="4294967294" count="1" selected="0">
            <x v="1"/>
          </reference>
          <reference field="9" count="1" selected="0">
            <x v="0"/>
          </reference>
          <reference field="17" count="1" selected="0">
            <x v="2"/>
          </reference>
          <reference field="18" count="1" selected="0">
            <x v="1"/>
          </reference>
        </references>
      </pivotArea>
    </chartFormat>
    <chartFormat chart="5" format="540">
      <pivotArea type="data" outline="0" fieldPosition="0">
        <references count="4">
          <reference field="4294967294" count="1" selected="0">
            <x v="2"/>
          </reference>
          <reference field="9" count="1" selected="0">
            <x v="0"/>
          </reference>
          <reference field="17" count="1" selected="0">
            <x v="2"/>
          </reference>
          <reference field="18" count="1" selected="0">
            <x v="1"/>
          </reference>
        </references>
      </pivotArea>
    </chartFormat>
    <chartFormat chart="5" format="541">
      <pivotArea type="data" outline="0" fieldPosition="0">
        <references count="4">
          <reference field="4294967294" count="1" selected="0">
            <x v="2"/>
          </reference>
          <reference field="9" count="1" selected="0">
            <x v="1"/>
          </reference>
          <reference field="17" count="1" selected="0">
            <x v="2"/>
          </reference>
          <reference field="18" count="1" selected="0">
            <x v="1"/>
          </reference>
        </references>
      </pivotArea>
    </chartFormat>
    <chartFormat chart="5" format="542">
      <pivotArea type="data" outline="0" fieldPosition="0">
        <references count="4">
          <reference field="4294967294" count="1" selected="0">
            <x v="2"/>
          </reference>
          <reference field="9" count="1" selected="0">
            <x v="2"/>
          </reference>
          <reference field="17" count="1" selected="0">
            <x v="2"/>
          </reference>
          <reference field="18" count="1" selected="0">
            <x v="1"/>
          </reference>
        </references>
      </pivotArea>
    </chartFormat>
    <chartFormat chart="5" format="543">
      <pivotArea type="data" outline="0" fieldPosition="0">
        <references count="4">
          <reference field="4294967294" count="1" selected="0">
            <x v="2"/>
          </reference>
          <reference field="9" count="1" selected="0">
            <x v="3"/>
          </reference>
          <reference field="17" count="1" selected="0">
            <x v="2"/>
          </reference>
          <reference field="18" count="1" selected="0">
            <x v="1"/>
          </reference>
        </references>
      </pivotArea>
    </chartFormat>
    <chartFormat chart="5" format="544">
      <pivotArea type="data" outline="0" fieldPosition="0">
        <references count="4">
          <reference field="4294967294" count="1" selected="0">
            <x v="0"/>
          </reference>
          <reference field="9" count="1" selected="0">
            <x v="4"/>
          </reference>
          <reference field="17" count="1" selected="0">
            <x v="2"/>
          </reference>
          <reference field="18" count="1" selected="0">
            <x v="1"/>
          </reference>
        </references>
      </pivotArea>
    </chartFormat>
    <chartFormat chart="5" format="545">
      <pivotArea type="data" outline="0" fieldPosition="0">
        <references count="4">
          <reference field="4294967294" count="1" selected="0">
            <x v="1"/>
          </reference>
          <reference field="9" count="1" selected="0">
            <x v="4"/>
          </reference>
          <reference field="17" count="1" selected="0">
            <x v="2"/>
          </reference>
          <reference field="18" count="1" selected="0">
            <x v="1"/>
          </reference>
        </references>
      </pivotArea>
    </chartFormat>
    <chartFormat chart="5" format="546">
      <pivotArea type="data" outline="0" fieldPosition="0">
        <references count="4">
          <reference field="4294967294" count="1" selected="0">
            <x v="2"/>
          </reference>
          <reference field="9" count="1" selected="0">
            <x v="4"/>
          </reference>
          <reference field="17" count="1" selected="0">
            <x v="2"/>
          </reference>
          <reference field="18" count="1" selected="0">
            <x v="1"/>
          </reference>
        </references>
      </pivotArea>
    </chartFormat>
    <chartFormat chart="5" format="547">
      <pivotArea type="data" outline="0" fieldPosition="0">
        <references count="4">
          <reference field="4294967294" count="1" selected="0">
            <x v="2"/>
          </reference>
          <reference field="9" count="1" selected="0">
            <x v="5"/>
          </reference>
          <reference field="17" count="1" selected="0">
            <x v="2"/>
          </reference>
          <reference field="18" count="1" selected="0">
            <x v="1"/>
          </reference>
        </references>
      </pivotArea>
    </chartFormat>
    <chartFormat chart="5" format="548">
      <pivotArea type="data" outline="0" fieldPosition="0">
        <references count="4">
          <reference field="4294967294" count="1" selected="0">
            <x v="2"/>
          </reference>
          <reference field="9" count="1" selected="0">
            <x v="6"/>
          </reference>
          <reference field="17" count="1" selected="0">
            <x v="2"/>
          </reference>
          <reference field="18" count="1" selected="0">
            <x v="1"/>
          </reference>
        </references>
      </pivotArea>
    </chartFormat>
    <chartFormat chart="5" format="549">
      <pivotArea type="data" outline="0" fieldPosition="0">
        <references count="4">
          <reference field="4294967294" count="1" selected="0">
            <x v="2"/>
          </reference>
          <reference field="9" count="1" selected="0">
            <x v="7"/>
          </reference>
          <reference field="17" count="1" selected="0">
            <x v="2"/>
          </reference>
          <reference field="18" count="1" selected="0">
            <x v="1"/>
          </reference>
        </references>
      </pivotArea>
    </chartFormat>
    <chartFormat chart="5" format="550">
      <pivotArea type="data" outline="0" fieldPosition="0">
        <references count="4">
          <reference field="4294967294" count="1" selected="0">
            <x v="0"/>
          </reference>
          <reference field="9" count="1" selected="0">
            <x v="8"/>
          </reference>
          <reference field="17" count="1" selected="0">
            <x v="2"/>
          </reference>
          <reference field="18" count="1" selected="0">
            <x v="1"/>
          </reference>
        </references>
      </pivotArea>
    </chartFormat>
    <chartFormat chart="5" format="551">
      <pivotArea type="data" outline="0" fieldPosition="0">
        <references count="4">
          <reference field="4294967294" count="1" selected="0">
            <x v="1"/>
          </reference>
          <reference field="9" count="1" selected="0">
            <x v="8"/>
          </reference>
          <reference field="17" count="1" selected="0">
            <x v="2"/>
          </reference>
          <reference field="18" count="1" selected="0">
            <x v="1"/>
          </reference>
        </references>
      </pivotArea>
    </chartFormat>
    <chartFormat chart="5" format="552">
      <pivotArea type="data" outline="0" fieldPosition="0">
        <references count="4">
          <reference field="4294967294" count="1" selected="0">
            <x v="2"/>
          </reference>
          <reference field="9" count="1" selected="0">
            <x v="8"/>
          </reference>
          <reference field="17" count="1" selected="0">
            <x v="2"/>
          </reference>
          <reference field="18" count="1" selected="0">
            <x v="1"/>
          </reference>
        </references>
      </pivotArea>
    </chartFormat>
    <chartFormat chart="5" format="553">
      <pivotArea type="data" outline="0" fieldPosition="0">
        <references count="4">
          <reference field="4294967294" count="1" selected="0">
            <x v="2"/>
          </reference>
          <reference field="9" count="1" selected="0">
            <x v="9"/>
          </reference>
          <reference field="17" count="1" selected="0">
            <x v="2"/>
          </reference>
          <reference field="18" count="1" selected="0">
            <x v="1"/>
          </reference>
        </references>
      </pivotArea>
    </chartFormat>
    <chartFormat chart="5" format="554">
      <pivotArea type="data" outline="0" fieldPosition="0">
        <references count="4">
          <reference field="4294967294" count="1" selected="0">
            <x v="0"/>
          </reference>
          <reference field="9" count="1" selected="0">
            <x v="0"/>
          </reference>
          <reference field="17" count="1" selected="0">
            <x v="3"/>
          </reference>
          <reference field="18" count="1" selected="0">
            <x v="1"/>
          </reference>
        </references>
      </pivotArea>
    </chartFormat>
    <chartFormat chart="5" format="555">
      <pivotArea type="data" outline="0" fieldPosition="0">
        <references count="4">
          <reference field="4294967294" count="1" selected="0">
            <x v="1"/>
          </reference>
          <reference field="9" count="1" selected="0">
            <x v="0"/>
          </reference>
          <reference field="17" count="1" selected="0">
            <x v="3"/>
          </reference>
          <reference field="18" count="1" selected="0">
            <x v="1"/>
          </reference>
        </references>
      </pivotArea>
    </chartFormat>
    <chartFormat chart="5" format="556">
      <pivotArea type="data" outline="0" fieldPosition="0">
        <references count="4">
          <reference field="4294967294" count="1" selected="0">
            <x v="2"/>
          </reference>
          <reference field="9" count="1" selected="0">
            <x v="0"/>
          </reference>
          <reference field="17" count="1" selected="0">
            <x v="3"/>
          </reference>
          <reference field="18" count="1" selected="0">
            <x v="1"/>
          </reference>
        </references>
      </pivotArea>
    </chartFormat>
    <chartFormat chart="5" format="557">
      <pivotArea type="data" outline="0" fieldPosition="0">
        <references count="4">
          <reference field="4294967294" count="1" selected="0">
            <x v="2"/>
          </reference>
          <reference field="9" count="1" selected="0">
            <x v="1"/>
          </reference>
          <reference field="17" count="1" selected="0">
            <x v="3"/>
          </reference>
          <reference field="18" count="1" selected="0">
            <x v="1"/>
          </reference>
        </references>
      </pivotArea>
    </chartFormat>
    <chartFormat chart="5" format="558">
      <pivotArea type="data" outline="0" fieldPosition="0">
        <references count="4">
          <reference field="4294967294" count="1" selected="0">
            <x v="2"/>
          </reference>
          <reference field="9" count="1" selected="0">
            <x v="2"/>
          </reference>
          <reference field="17" count="1" selected="0">
            <x v="3"/>
          </reference>
          <reference field="18" count="1" selected="0">
            <x v="1"/>
          </reference>
        </references>
      </pivotArea>
    </chartFormat>
    <chartFormat chart="5" format="559">
      <pivotArea type="data" outline="0" fieldPosition="0">
        <references count="4">
          <reference field="4294967294" count="1" selected="0">
            <x v="2"/>
          </reference>
          <reference field="9" count="1" selected="0">
            <x v="3"/>
          </reference>
          <reference field="17" count="1" selected="0">
            <x v="3"/>
          </reference>
          <reference field="18" count="1" selected="0">
            <x v="1"/>
          </reference>
        </references>
      </pivotArea>
    </chartFormat>
    <chartFormat chart="5" format="560">
      <pivotArea type="data" outline="0" fieldPosition="0">
        <references count="4">
          <reference field="4294967294" count="1" selected="0">
            <x v="0"/>
          </reference>
          <reference field="9" count="1" selected="0">
            <x v="4"/>
          </reference>
          <reference field="17" count="1" selected="0">
            <x v="3"/>
          </reference>
          <reference field="18" count="1" selected="0">
            <x v="1"/>
          </reference>
        </references>
      </pivotArea>
    </chartFormat>
    <chartFormat chart="5" format="561">
      <pivotArea type="data" outline="0" fieldPosition="0">
        <references count="4">
          <reference field="4294967294" count="1" selected="0">
            <x v="1"/>
          </reference>
          <reference field="9" count="1" selected="0">
            <x v="4"/>
          </reference>
          <reference field="17" count="1" selected="0">
            <x v="3"/>
          </reference>
          <reference field="18" count="1" selected="0">
            <x v="1"/>
          </reference>
        </references>
      </pivotArea>
    </chartFormat>
    <chartFormat chart="5" format="562">
      <pivotArea type="data" outline="0" fieldPosition="0">
        <references count="4">
          <reference field="4294967294" count="1" selected="0">
            <x v="2"/>
          </reference>
          <reference field="9" count="1" selected="0">
            <x v="4"/>
          </reference>
          <reference field="17" count="1" selected="0">
            <x v="3"/>
          </reference>
          <reference field="18" count="1" selected="0">
            <x v="1"/>
          </reference>
        </references>
      </pivotArea>
    </chartFormat>
    <chartFormat chart="5" format="563">
      <pivotArea type="data" outline="0" fieldPosition="0">
        <references count="4">
          <reference field="4294967294" count="1" selected="0">
            <x v="2"/>
          </reference>
          <reference field="9" count="1" selected="0">
            <x v="5"/>
          </reference>
          <reference field="17" count="1" selected="0">
            <x v="3"/>
          </reference>
          <reference field="18" count="1" selected="0">
            <x v="1"/>
          </reference>
        </references>
      </pivotArea>
    </chartFormat>
    <chartFormat chart="5" format="564">
      <pivotArea type="data" outline="0" fieldPosition="0">
        <references count="4">
          <reference field="4294967294" count="1" selected="0">
            <x v="2"/>
          </reference>
          <reference field="9" count="1" selected="0">
            <x v="6"/>
          </reference>
          <reference field="17" count="1" selected="0">
            <x v="3"/>
          </reference>
          <reference field="18" count="1" selected="0">
            <x v="1"/>
          </reference>
        </references>
      </pivotArea>
    </chartFormat>
    <chartFormat chart="5" format="565">
      <pivotArea type="data" outline="0" fieldPosition="0">
        <references count="4">
          <reference field="4294967294" count="1" selected="0">
            <x v="2"/>
          </reference>
          <reference field="9" count="1" selected="0">
            <x v="7"/>
          </reference>
          <reference field="17" count="1" selected="0">
            <x v="3"/>
          </reference>
          <reference field="18" count="1" selected="0">
            <x v="1"/>
          </reference>
        </references>
      </pivotArea>
    </chartFormat>
    <chartFormat chart="5" format="566">
      <pivotArea type="data" outline="0" fieldPosition="0">
        <references count="4">
          <reference field="4294967294" count="1" selected="0">
            <x v="0"/>
          </reference>
          <reference field="9" count="1" selected="0">
            <x v="8"/>
          </reference>
          <reference field="17" count="1" selected="0">
            <x v="3"/>
          </reference>
          <reference field="18" count="1" selected="0">
            <x v="1"/>
          </reference>
        </references>
      </pivotArea>
    </chartFormat>
    <chartFormat chart="5" format="567">
      <pivotArea type="data" outline="0" fieldPosition="0">
        <references count="4">
          <reference field="4294967294" count="1" selected="0">
            <x v="1"/>
          </reference>
          <reference field="9" count="1" selected="0">
            <x v="8"/>
          </reference>
          <reference field="17" count="1" selected="0">
            <x v="3"/>
          </reference>
          <reference field="18" count="1" selected="0">
            <x v="1"/>
          </reference>
        </references>
      </pivotArea>
    </chartFormat>
    <chartFormat chart="5" format="568">
      <pivotArea type="data" outline="0" fieldPosition="0">
        <references count="4">
          <reference field="4294967294" count="1" selected="0">
            <x v="2"/>
          </reference>
          <reference field="9" count="1" selected="0">
            <x v="8"/>
          </reference>
          <reference field="17" count="1" selected="0">
            <x v="3"/>
          </reference>
          <reference field="18" count="1" selected="0">
            <x v="1"/>
          </reference>
        </references>
      </pivotArea>
    </chartFormat>
    <chartFormat chart="5" format="569">
      <pivotArea type="data" outline="0" fieldPosition="0">
        <references count="4">
          <reference field="4294967294" count="1" selected="0">
            <x v="2"/>
          </reference>
          <reference field="9" count="1" selected="0">
            <x v="9"/>
          </reference>
          <reference field="17" count="1" selected="0">
            <x v="3"/>
          </reference>
          <reference field="18" count="1" selected="0">
            <x v="1"/>
          </reference>
        </references>
      </pivotArea>
    </chartFormat>
    <chartFormat chart="5" format="570">
      <pivotArea type="data" outline="0" fieldPosition="0">
        <references count="4">
          <reference field="4294967294" count="1" selected="0">
            <x v="0"/>
          </reference>
          <reference field="9" count="1" selected="0">
            <x v="0"/>
          </reference>
          <reference field="17" count="1" selected="0">
            <x v="4"/>
          </reference>
          <reference field="18" count="1" selected="0">
            <x v="1"/>
          </reference>
        </references>
      </pivotArea>
    </chartFormat>
    <chartFormat chart="5" format="571">
      <pivotArea type="data" outline="0" fieldPosition="0">
        <references count="4">
          <reference field="4294967294" count="1" selected="0">
            <x v="1"/>
          </reference>
          <reference field="9" count="1" selected="0">
            <x v="0"/>
          </reference>
          <reference field="17" count="1" selected="0">
            <x v="4"/>
          </reference>
          <reference field="18" count="1" selected="0">
            <x v="1"/>
          </reference>
        </references>
      </pivotArea>
    </chartFormat>
    <chartFormat chart="5" format="572">
      <pivotArea type="data" outline="0" fieldPosition="0">
        <references count="4">
          <reference field="4294967294" count="1" selected="0">
            <x v="2"/>
          </reference>
          <reference field="9" count="1" selected="0">
            <x v="0"/>
          </reference>
          <reference field="17" count="1" selected="0">
            <x v="4"/>
          </reference>
          <reference field="18" count="1" selected="0">
            <x v="1"/>
          </reference>
        </references>
      </pivotArea>
    </chartFormat>
    <chartFormat chart="5" format="573">
      <pivotArea type="data" outline="0" fieldPosition="0">
        <references count="4">
          <reference field="4294967294" count="1" selected="0">
            <x v="2"/>
          </reference>
          <reference field="9" count="1" selected="0">
            <x v="1"/>
          </reference>
          <reference field="17" count="1" selected="0">
            <x v="4"/>
          </reference>
          <reference field="18" count="1" selected="0">
            <x v="1"/>
          </reference>
        </references>
      </pivotArea>
    </chartFormat>
    <chartFormat chart="5" format="574">
      <pivotArea type="data" outline="0" fieldPosition="0">
        <references count="4">
          <reference field="4294967294" count="1" selected="0">
            <x v="2"/>
          </reference>
          <reference field="9" count="1" selected="0">
            <x v="2"/>
          </reference>
          <reference field="17" count="1" selected="0">
            <x v="4"/>
          </reference>
          <reference field="18" count="1" selected="0">
            <x v="1"/>
          </reference>
        </references>
      </pivotArea>
    </chartFormat>
    <chartFormat chart="5" format="575">
      <pivotArea type="data" outline="0" fieldPosition="0">
        <references count="4">
          <reference field="4294967294" count="1" selected="0">
            <x v="2"/>
          </reference>
          <reference field="9" count="1" selected="0">
            <x v="3"/>
          </reference>
          <reference field="17" count="1" selected="0">
            <x v="4"/>
          </reference>
          <reference field="18" count="1" selected="0">
            <x v="1"/>
          </reference>
        </references>
      </pivotArea>
    </chartFormat>
    <chartFormat chart="5" format="576">
      <pivotArea type="data" outline="0" fieldPosition="0">
        <references count="4">
          <reference field="4294967294" count="1" selected="0">
            <x v="0"/>
          </reference>
          <reference field="9" count="1" selected="0">
            <x v="4"/>
          </reference>
          <reference field="17" count="1" selected="0">
            <x v="4"/>
          </reference>
          <reference field="18" count="1" selected="0">
            <x v="1"/>
          </reference>
        </references>
      </pivotArea>
    </chartFormat>
    <chartFormat chart="5" format="577">
      <pivotArea type="data" outline="0" fieldPosition="0">
        <references count="4">
          <reference field="4294967294" count="1" selected="0">
            <x v="1"/>
          </reference>
          <reference field="9" count="1" selected="0">
            <x v="4"/>
          </reference>
          <reference field="17" count="1" selected="0">
            <x v="4"/>
          </reference>
          <reference field="18" count="1" selected="0">
            <x v="1"/>
          </reference>
        </references>
      </pivotArea>
    </chartFormat>
    <chartFormat chart="5" format="578">
      <pivotArea type="data" outline="0" fieldPosition="0">
        <references count="4">
          <reference field="4294967294" count="1" selected="0">
            <x v="2"/>
          </reference>
          <reference field="9" count="1" selected="0">
            <x v="4"/>
          </reference>
          <reference field="17" count="1" selected="0">
            <x v="4"/>
          </reference>
          <reference field="18" count="1" selected="0">
            <x v="1"/>
          </reference>
        </references>
      </pivotArea>
    </chartFormat>
    <chartFormat chart="5" format="579">
      <pivotArea type="data" outline="0" fieldPosition="0">
        <references count="4">
          <reference field="4294967294" count="1" selected="0">
            <x v="2"/>
          </reference>
          <reference field="9" count="1" selected="0">
            <x v="5"/>
          </reference>
          <reference field="17" count="1" selected="0">
            <x v="4"/>
          </reference>
          <reference field="18" count="1" selected="0">
            <x v="1"/>
          </reference>
        </references>
      </pivotArea>
    </chartFormat>
    <chartFormat chart="5" format="580">
      <pivotArea type="data" outline="0" fieldPosition="0">
        <references count="4">
          <reference field="4294967294" count="1" selected="0">
            <x v="2"/>
          </reference>
          <reference field="9" count="1" selected="0">
            <x v="6"/>
          </reference>
          <reference field="17" count="1" selected="0">
            <x v="4"/>
          </reference>
          <reference field="18" count="1" selected="0">
            <x v="1"/>
          </reference>
        </references>
      </pivotArea>
    </chartFormat>
    <chartFormat chart="5" format="581">
      <pivotArea type="data" outline="0" fieldPosition="0">
        <references count="4">
          <reference field="4294967294" count="1" selected="0">
            <x v="2"/>
          </reference>
          <reference field="9" count="1" selected="0">
            <x v="7"/>
          </reference>
          <reference field="17" count="1" selected="0">
            <x v="4"/>
          </reference>
          <reference field="18" count="1" selected="0">
            <x v="1"/>
          </reference>
        </references>
      </pivotArea>
    </chartFormat>
    <chartFormat chart="5" format="582">
      <pivotArea type="data" outline="0" fieldPosition="0">
        <references count="4">
          <reference field="4294967294" count="1" selected="0">
            <x v="0"/>
          </reference>
          <reference field="9" count="1" selected="0">
            <x v="8"/>
          </reference>
          <reference field="17" count="1" selected="0">
            <x v="4"/>
          </reference>
          <reference field="18" count="1" selected="0">
            <x v="1"/>
          </reference>
        </references>
      </pivotArea>
    </chartFormat>
    <chartFormat chart="5" format="583">
      <pivotArea type="data" outline="0" fieldPosition="0">
        <references count="4">
          <reference field="4294967294" count="1" selected="0">
            <x v="1"/>
          </reference>
          <reference field="9" count="1" selected="0">
            <x v="8"/>
          </reference>
          <reference field="17" count="1" selected="0">
            <x v="4"/>
          </reference>
          <reference field="18" count="1" selected="0">
            <x v="1"/>
          </reference>
        </references>
      </pivotArea>
    </chartFormat>
    <chartFormat chart="5" format="584">
      <pivotArea type="data" outline="0" fieldPosition="0">
        <references count="4">
          <reference field="4294967294" count="1" selected="0">
            <x v="2"/>
          </reference>
          <reference field="9" count="1" selected="0">
            <x v="8"/>
          </reference>
          <reference field="17" count="1" selected="0">
            <x v="4"/>
          </reference>
          <reference field="18" count="1" selected="0">
            <x v="1"/>
          </reference>
        </references>
      </pivotArea>
    </chartFormat>
    <chartFormat chart="5" format="585">
      <pivotArea type="data" outline="0" fieldPosition="0">
        <references count="4">
          <reference field="4294967294" count="1" selected="0">
            <x v="2"/>
          </reference>
          <reference field="9" count="1" selected="0">
            <x v="9"/>
          </reference>
          <reference field="17" count="1" selected="0">
            <x v="4"/>
          </reference>
          <reference field="18" count="1" selected="0">
            <x v="1"/>
          </reference>
        </references>
      </pivotArea>
    </chartFormat>
    <chartFormat chart="5" format="586">
      <pivotArea type="data" outline="0" fieldPosition="0">
        <references count="4">
          <reference field="4294967294" count="1" selected="0">
            <x v="0"/>
          </reference>
          <reference field="9" count="1" selected="0">
            <x v="0"/>
          </reference>
          <reference field="17" count="1" selected="0">
            <x v="5"/>
          </reference>
          <reference field="18" count="1" selected="0">
            <x v="1"/>
          </reference>
        </references>
      </pivotArea>
    </chartFormat>
    <chartFormat chart="5" format="587">
      <pivotArea type="data" outline="0" fieldPosition="0">
        <references count="4">
          <reference field="4294967294" count="1" selected="0">
            <x v="1"/>
          </reference>
          <reference field="9" count="1" selected="0">
            <x v="0"/>
          </reference>
          <reference field="17" count="1" selected="0">
            <x v="5"/>
          </reference>
          <reference field="18" count="1" selected="0">
            <x v="1"/>
          </reference>
        </references>
      </pivotArea>
    </chartFormat>
    <chartFormat chart="5" format="588">
      <pivotArea type="data" outline="0" fieldPosition="0">
        <references count="4">
          <reference field="4294967294" count="1" selected="0">
            <x v="2"/>
          </reference>
          <reference field="9" count="1" selected="0">
            <x v="0"/>
          </reference>
          <reference field="17" count="1" selected="0">
            <x v="5"/>
          </reference>
          <reference field="18" count="1" selected="0">
            <x v="1"/>
          </reference>
        </references>
      </pivotArea>
    </chartFormat>
    <chartFormat chart="5" format="589">
      <pivotArea type="data" outline="0" fieldPosition="0">
        <references count="4">
          <reference field="4294967294" count="1" selected="0">
            <x v="2"/>
          </reference>
          <reference field="9" count="1" selected="0">
            <x v="1"/>
          </reference>
          <reference field="17" count="1" selected="0">
            <x v="5"/>
          </reference>
          <reference field="18" count="1" selected="0">
            <x v="1"/>
          </reference>
        </references>
      </pivotArea>
    </chartFormat>
    <chartFormat chart="5" format="590">
      <pivotArea type="data" outline="0" fieldPosition="0">
        <references count="4">
          <reference field="4294967294" count="1" selected="0">
            <x v="2"/>
          </reference>
          <reference field="9" count="1" selected="0">
            <x v="2"/>
          </reference>
          <reference field="17" count="1" selected="0">
            <x v="5"/>
          </reference>
          <reference field="18" count="1" selected="0">
            <x v="1"/>
          </reference>
        </references>
      </pivotArea>
    </chartFormat>
    <chartFormat chart="5" format="591">
      <pivotArea type="data" outline="0" fieldPosition="0">
        <references count="4">
          <reference field="4294967294" count="1" selected="0">
            <x v="2"/>
          </reference>
          <reference field="9" count="1" selected="0">
            <x v="3"/>
          </reference>
          <reference field="17" count="1" selected="0">
            <x v="5"/>
          </reference>
          <reference field="18" count="1" selected="0">
            <x v="1"/>
          </reference>
        </references>
      </pivotArea>
    </chartFormat>
    <chartFormat chart="5" format="592">
      <pivotArea type="data" outline="0" fieldPosition="0">
        <references count="4">
          <reference field="4294967294" count="1" selected="0">
            <x v="0"/>
          </reference>
          <reference field="9" count="1" selected="0">
            <x v="4"/>
          </reference>
          <reference field="17" count="1" selected="0">
            <x v="5"/>
          </reference>
          <reference field="18" count="1" selected="0">
            <x v="1"/>
          </reference>
        </references>
      </pivotArea>
    </chartFormat>
    <chartFormat chart="5" format="593">
      <pivotArea type="data" outline="0" fieldPosition="0">
        <references count="4">
          <reference field="4294967294" count="1" selected="0">
            <x v="1"/>
          </reference>
          <reference field="9" count="1" selected="0">
            <x v="4"/>
          </reference>
          <reference field="17" count="1" selected="0">
            <x v="5"/>
          </reference>
          <reference field="18" count="1" selected="0">
            <x v="1"/>
          </reference>
        </references>
      </pivotArea>
    </chartFormat>
    <chartFormat chart="5" format="594">
      <pivotArea type="data" outline="0" fieldPosition="0">
        <references count="4">
          <reference field="4294967294" count="1" selected="0">
            <x v="2"/>
          </reference>
          <reference field="9" count="1" selected="0">
            <x v="4"/>
          </reference>
          <reference field="17" count="1" selected="0">
            <x v="5"/>
          </reference>
          <reference field="18" count="1" selected="0">
            <x v="1"/>
          </reference>
        </references>
      </pivotArea>
    </chartFormat>
    <chartFormat chart="5" format="595">
      <pivotArea type="data" outline="0" fieldPosition="0">
        <references count="4">
          <reference field="4294967294" count="1" selected="0">
            <x v="2"/>
          </reference>
          <reference field="9" count="1" selected="0">
            <x v="5"/>
          </reference>
          <reference field="17" count="1" selected="0">
            <x v="5"/>
          </reference>
          <reference field="18" count="1" selected="0">
            <x v="1"/>
          </reference>
        </references>
      </pivotArea>
    </chartFormat>
    <chartFormat chart="5" format="596">
      <pivotArea type="data" outline="0" fieldPosition="0">
        <references count="4">
          <reference field="4294967294" count="1" selected="0">
            <x v="2"/>
          </reference>
          <reference field="9" count="1" selected="0">
            <x v="6"/>
          </reference>
          <reference field="17" count="1" selected="0">
            <x v="5"/>
          </reference>
          <reference field="18" count="1" selected="0">
            <x v="1"/>
          </reference>
        </references>
      </pivotArea>
    </chartFormat>
    <chartFormat chart="5" format="597">
      <pivotArea type="data" outline="0" fieldPosition="0">
        <references count="4">
          <reference field="4294967294" count="1" selected="0">
            <x v="2"/>
          </reference>
          <reference field="9" count="1" selected="0">
            <x v="7"/>
          </reference>
          <reference field="17" count="1" selected="0">
            <x v="5"/>
          </reference>
          <reference field="18" count="1" selected="0">
            <x v="1"/>
          </reference>
        </references>
      </pivotArea>
    </chartFormat>
    <chartFormat chart="5" format="598">
      <pivotArea type="data" outline="0" fieldPosition="0">
        <references count="4">
          <reference field="4294967294" count="1" selected="0">
            <x v="0"/>
          </reference>
          <reference field="9" count="1" selected="0">
            <x v="8"/>
          </reference>
          <reference field="17" count="1" selected="0">
            <x v="5"/>
          </reference>
          <reference field="18" count="1" selected="0">
            <x v="1"/>
          </reference>
        </references>
      </pivotArea>
    </chartFormat>
    <chartFormat chart="5" format="599">
      <pivotArea type="data" outline="0" fieldPosition="0">
        <references count="4">
          <reference field="4294967294" count="1" selected="0">
            <x v="1"/>
          </reference>
          <reference field="9" count="1" selected="0">
            <x v="8"/>
          </reference>
          <reference field="17" count="1" selected="0">
            <x v="5"/>
          </reference>
          <reference field="18" count="1" selected="0">
            <x v="1"/>
          </reference>
        </references>
      </pivotArea>
    </chartFormat>
    <chartFormat chart="5" format="600">
      <pivotArea type="data" outline="0" fieldPosition="0">
        <references count="4">
          <reference field="4294967294" count="1" selected="0">
            <x v="2"/>
          </reference>
          <reference field="9" count="1" selected="0">
            <x v="8"/>
          </reference>
          <reference field="17" count="1" selected="0">
            <x v="5"/>
          </reference>
          <reference field="18" count="1" selected="0">
            <x v="1"/>
          </reference>
        </references>
      </pivotArea>
    </chartFormat>
    <chartFormat chart="5" format="601">
      <pivotArea type="data" outline="0" fieldPosition="0">
        <references count="4">
          <reference field="4294967294" count="1" selected="0">
            <x v="2"/>
          </reference>
          <reference field="9" count="1" selected="0">
            <x v="9"/>
          </reference>
          <reference field="17" count="1" selected="0">
            <x v="5"/>
          </reference>
          <reference field="18" count="1" selected="0">
            <x v="1"/>
          </reference>
        </references>
      </pivotArea>
    </chartFormat>
    <chartFormat chart="5" format="602">
      <pivotArea type="data" outline="0" fieldPosition="0">
        <references count="4">
          <reference field="4294967294" count="1" selected="0">
            <x v="0"/>
          </reference>
          <reference field="9" count="1" selected="0">
            <x v="0"/>
          </reference>
          <reference field="17" count="1" selected="0">
            <x v="6"/>
          </reference>
          <reference field="18" count="1" selected="0">
            <x v="1"/>
          </reference>
        </references>
      </pivotArea>
    </chartFormat>
    <chartFormat chart="5" format="603">
      <pivotArea type="data" outline="0" fieldPosition="0">
        <references count="4">
          <reference field="4294967294" count="1" selected="0">
            <x v="1"/>
          </reference>
          <reference field="9" count="1" selected="0">
            <x v="0"/>
          </reference>
          <reference field="17" count="1" selected="0">
            <x v="6"/>
          </reference>
          <reference field="18" count="1" selected="0">
            <x v="1"/>
          </reference>
        </references>
      </pivotArea>
    </chartFormat>
    <chartFormat chart="5" format="604">
      <pivotArea type="data" outline="0" fieldPosition="0">
        <references count="4">
          <reference field="4294967294" count="1" selected="0">
            <x v="2"/>
          </reference>
          <reference field="9" count="1" selected="0">
            <x v="0"/>
          </reference>
          <reference field="17" count="1" selected="0">
            <x v="6"/>
          </reference>
          <reference field="18" count="1" selected="0">
            <x v="1"/>
          </reference>
        </references>
      </pivotArea>
    </chartFormat>
    <chartFormat chart="5" format="605">
      <pivotArea type="data" outline="0" fieldPosition="0">
        <references count="4">
          <reference field="4294967294" count="1" selected="0">
            <x v="2"/>
          </reference>
          <reference field="9" count="1" selected="0">
            <x v="1"/>
          </reference>
          <reference field="17" count="1" selected="0">
            <x v="6"/>
          </reference>
          <reference field="18" count="1" selected="0">
            <x v="1"/>
          </reference>
        </references>
      </pivotArea>
    </chartFormat>
    <chartFormat chart="5" format="606">
      <pivotArea type="data" outline="0" fieldPosition="0">
        <references count="4">
          <reference field="4294967294" count="1" selected="0">
            <x v="2"/>
          </reference>
          <reference field="9" count="1" selected="0">
            <x v="2"/>
          </reference>
          <reference field="17" count="1" selected="0">
            <x v="6"/>
          </reference>
          <reference field="18" count="1" selected="0">
            <x v="1"/>
          </reference>
        </references>
      </pivotArea>
    </chartFormat>
    <chartFormat chart="5" format="607">
      <pivotArea type="data" outline="0" fieldPosition="0">
        <references count="4">
          <reference field="4294967294" count="1" selected="0">
            <x v="2"/>
          </reference>
          <reference field="9" count="1" selected="0">
            <x v="3"/>
          </reference>
          <reference field="17" count="1" selected="0">
            <x v="6"/>
          </reference>
          <reference field="18" count="1" selected="0">
            <x v="1"/>
          </reference>
        </references>
      </pivotArea>
    </chartFormat>
    <chartFormat chart="5" format="608">
      <pivotArea type="data" outline="0" fieldPosition="0">
        <references count="4">
          <reference field="4294967294" count="1" selected="0">
            <x v="0"/>
          </reference>
          <reference field="9" count="1" selected="0">
            <x v="4"/>
          </reference>
          <reference field="17" count="1" selected="0">
            <x v="6"/>
          </reference>
          <reference field="18" count="1" selected="0">
            <x v="1"/>
          </reference>
        </references>
      </pivotArea>
    </chartFormat>
    <chartFormat chart="5" format="609">
      <pivotArea type="data" outline="0" fieldPosition="0">
        <references count="4">
          <reference field="4294967294" count="1" selected="0">
            <x v="1"/>
          </reference>
          <reference field="9" count="1" selected="0">
            <x v="4"/>
          </reference>
          <reference field="17" count="1" selected="0">
            <x v="6"/>
          </reference>
          <reference field="18" count="1" selected="0">
            <x v="1"/>
          </reference>
        </references>
      </pivotArea>
    </chartFormat>
    <chartFormat chart="5" format="610">
      <pivotArea type="data" outline="0" fieldPosition="0">
        <references count="4">
          <reference field="4294967294" count="1" selected="0">
            <x v="2"/>
          </reference>
          <reference field="9" count="1" selected="0">
            <x v="4"/>
          </reference>
          <reference field="17" count="1" selected="0">
            <x v="6"/>
          </reference>
          <reference field="18" count="1" selected="0">
            <x v="1"/>
          </reference>
        </references>
      </pivotArea>
    </chartFormat>
    <chartFormat chart="5" format="611">
      <pivotArea type="data" outline="0" fieldPosition="0">
        <references count="4">
          <reference field="4294967294" count="1" selected="0">
            <x v="2"/>
          </reference>
          <reference field="9" count="1" selected="0">
            <x v="5"/>
          </reference>
          <reference field="17" count="1" selected="0">
            <x v="6"/>
          </reference>
          <reference field="18" count="1" selected="0">
            <x v="1"/>
          </reference>
        </references>
      </pivotArea>
    </chartFormat>
    <chartFormat chart="5" format="612">
      <pivotArea type="data" outline="0" fieldPosition="0">
        <references count="4">
          <reference field="4294967294" count="1" selected="0">
            <x v="2"/>
          </reference>
          <reference field="9" count="1" selected="0">
            <x v="6"/>
          </reference>
          <reference field="17" count="1" selected="0">
            <x v="6"/>
          </reference>
          <reference field="18" count="1" selected="0">
            <x v="1"/>
          </reference>
        </references>
      </pivotArea>
    </chartFormat>
    <chartFormat chart="5" format="613">
      <pivotArea type="data" outline="0" fieldPosition="0">
        <references count="4">
          <reference field="4294967294" count="1" selected="0">
            <x v="2"/>
          </reference>
          <reference field="9" count="1" selected="0">
            <x v="7"/>
          </reference>
          <reference field="17" count="1" selected="0">
            <x v="6"/>
          </reference>
          <reference field="18" count="1" selected="0">
            <x v="1"/>
          </reference>
        </references>
      </pivotArea>
    </chartFormat>
    <chartFormat chart="5" format="614">
      <pivotArea type="data" outline="0" fieldPosition="0">
        <references count="4">
          <reference field="4294967294" count="1" selected="0">
            <x v="0"/>
          </reference>
          <reference field="9" count="1" selected="0">
            <x v="8"/>
          </reference>
          <reference field="17" count="1" selected="0">
            <x v="6"/>
          </reference>
          <reference field="18" count="1" selected="0">
            <x v="1"/>
          </reference>
        </references>
      </pivotArea>
    </chartFormat>
    <chartFormat chart="5" format="615">
      <pivotArea type="data" outline="0" fieldPosition="0">
        <references count="4">
          <reference field="4294967294" count="1" selected="0">
            <x v="1"/>
          </reference>
          <reference field="9" count="1" selected="0">
            <x v="8"/>
          </reference>
          <reference field="17" count="1" selected="0">
            <x v="6"/>
          </reference>
          <reference field="18" count="1" selected="0">
            <x v="1"/>
          </reference>
        </references>
      </pivotArea>
    </chartFormat>
    <chartFormat chart="5" format="616">
      <pivotArea type="data" outline="0" fieldPosition="0">
        <references count="4">
          <reference field="4294967294" count="1" selected="0">
            <x v="2"/>
          </reference>
          <reference field="9" count="1" selected="0">
            <x v="8"/>
          </reference>
          <reference field="17" count="1" selected="0">
            <x v="6"/>
          </reference>
          <reference field="18" count="1" selected="0">
            <x v="1"/>
          </reference>
        </references>
      </pivotArea>
    </chartFormat>
    <chartFormat chart="5" format="617">
      <pivotArea type="data" outline="0" fieldPosition="0">
        <references count="4">
          <reference field="4294967294" count="1" selected="0">
            <x v="2"/>
          </reference>
          <reference field="9" count="1" selected="0">
            <x v="9"/>
          </reference>
          <reference field="17" count="1" selected="0">
            <x v="6"/>
          </reference>
          <reference field="18" count="1" selected="0">
            <x v="1"/>
          </reference>
        </references>
      </pivotArea>
    </chartFormat>
    <chartFormat chart="5" format="618">
      <pivotArea type="data" outline="0" fieldPosition="0">
        <references count="4">
          <reference field="4294967294" count="1" selected="0">
            <x v="0"/>
          </reference>
          <reference field="9" count="1" selected="0">
            <x v="0"/>
          </reference>
          <reference field="17" count="1" selected="0">
            <x v="7"/>
          </reference>
          <reference field="18" count="1" selected="0">
            <x v="1"/>
          </reference>
        </references>
      </pivotArea>
    </chartFormat>
    <chartFormat chart="5" format="619">
      <pivotArea type="data" outline="0" fieldPosition="0">
        <references count="4">
          <reference field="4294967294" count="1" selected="0">
            <x v="1"/>
          </reference>
          <reference field="9" count="1" selected="0">
            <x v="0"/>
          </reference>
          <reference field="17" count="1" selected="0">
            <x v="7"/>
          </reference>
          <reference field="18" count="1" selected="0">
            <x v="1"/>
          </reference>
        </references>
      </pivotArea>
    </chartFormat>
    <chartFormat chart="5" format="620">
      <pivotArea type="data" outline="0" fieldPosition="0">
        <references count="4">
          <reference field="4294967294" count="1" selected="0">
            <x v="2"/>
          </reference>
          <reference field="9" count="1" selected="0">
            <x v="0"/>
          </reference>
          <reference field="17" count="1" selected="0">
            <x v="7"/>
          </reference>
          <reference field="18" count="1" selected="0">
            <x v="1"/>
          </reference>
        </references>
      </pivotArea>
    </chartFormat>
    <chartFormat chart="5" format="621">
      <pivotArea type="data" outline="0" fieldPosition="0">
        <references count="4">
          <reference field="4294967294" count="1" selected="0">
            <x v="2"/>
          </reference>
          <reference field="9" count="1" selected="0">
            <x v="1"/>
          </reference>
          <reference field="17" count="1" selected="0">
            <x v="7"/>
          </reference>
          <reference field="18" count="1" selected="0">
            <x v="1"/>
          </reference>
        </references>
      </pivotArea>
    </chartFormat>
    <chartFormat chart="5" format="622">
      <pivotArea type="data" outline="0" fieldPosition="0">
        <references count="4">
          <reference field="4294967294" count="1" selected="0">
            <x v="2"/>
          </reference>
          <reference field="9" count="1" selected="0">
            <x v="2"/>
          </reference>
          <reference field="17" count="1" selected="0">
            <x v="7"/>
          </reference>
          <reference field="18" count="1" selected="0">
            <x v="1"/>
          </reference>
        </references>
      </pivotArea>
    </chartFormat>
    <chartFormat chart="5" format="623">
      <pivotArea type="data" outline="0" fieldPosition="0">
        <references count="4">
          <reference field="4294967294" count="1" selected="0">
            <x v="2"/>
          </reference>
          <reference field="9" count="1" selected="0">
            <x v="3"/>
          </reference>
          <reference field="17" count="1" selected="0">
            <x v="7"/>
          </reference>
          <reference field="18" count="1" selected="0">
            <x v="1"/>
          </reference>
        </references>
      </pivotArea>
    </chartFormat>
    <chartFormat chart="5" format="624">
      <pivotArea type="data" outline="0" fieldPosition="0">
        <references count="4">
          <reference field="4294967294" count="1" selected="0">
            <x v="0"/>
          </reference>
          <reference field="9" count="1" selected="0">
            <x v="4"/>
          </reference>
          <reference field="17" count="1" selected="0">
            <x v="7"/>
          </reference>
          <reference field="18" count="1" selected="0">
            <x v="1"/>
          </reference>
        </references>
      </pivotArea>
    </chartFormat>
    <chartFormat chart="5" format="625">
      <pivotArea type="data" outline="0" fieldPosition="0">
        <references count="4">
          <reference field="4294967294" count="1" selected="0">
            <x v="1"/>
          </reference>
          <reference field="9" count="1" selected="0">
            <x v="4"/>
          </reference>
          <reference field="17" count="1" selected="0">
            <x v="7"/>
          </reference>
          <reference field="18" count="1" selected="0">
            <x v="1"/>
          </reference>
        </references>
      </pivotArea>
    </chartFormat>
    <chartFormat chart="5" format="626">
      <pivotArea type="data" outline="0" fieldPosition="0">
        <references count="4">
          <reference field="4294967294" count="1" selected="0">
            <x v="2"/>
          </reference>
          <reference field="9" count="1" selected="0">
            <x v="4"/>
          </reference>
          <reference field="17" count="1" selected="0">
            <x v="7"/>
          </reference>
          <reference field="18" count="1" selected="0">
            <x v="1"/>
          </reference>
        </references>
      </pivotArea>
    </chartFormat>
    <chartFormat chart="5" format="627">
      <pivotArea type="data" outline="0" fieldPosition="0">
        <references count="4">
          <reference field="4294967294" count="1" selected="0">
            <x v="2"/>
          </reference>
          <reference field="9" count="1" selected="0">
            <x v="5"/>
          </reference>
          <reference field="17" count="1" selected="0">
            <x v="7"/>
          </reference>
          <reference field="18" count="1" selected="0">
            <x v="1"/>
          </reference>
        </references>
      </pivotArea>
    </chartFormat>
    <chartFormat chart="5" format="628">
      <pivotArea type="data" outline="0" fieldPosition="0">
        <references count="4">
          <reference field="4294967294" count="1" selected="0">
            <x v="2"/>
          </reference>
          <reference field="9" count="1" selected="0">
            <x v="6"/>
          </reference>
          <reference field="17" count="1" selected="0">
            <x v="7"/>
          </reference>
          <reference field="18" count="1" selected="0">
            <x v="1"/>
          </reference>
        </references>
      </pivotArea>
    </chartFormat>
    <chartFormat chart="5" format="629">
      <pivotArea type="data" outline="0" fieldPosition="0">
        <references count="4">
          <reference field="4294967294" count="1" selected="0">
            <x v="2"/>
          </reference>
          <reference field="9" count="1" selected="0">
            <x v="7"/>
          </reference>
          <reference field="17" count="1" selected="0">
            <x v="7"/>
          </reference>
          <reference field="18" count="1" selected="0">
            <x v="1"/>
          </reference>
        </references>
      </pivotArea>
    </chartFormat>
    <chartFormat chart="5" format="630">
      <pivotArea type="data" outline="0" fieldPosition="0">
        <references count="4">
          <reference field="4294967294" count="1" selected="0">
            <x v="0"/>
          </reference>
          <reference field="9" count="1" selected="0">
            <x v="8"/>
          </reference>
          <reference field="17" count="1" selected="0">
            <x v="7"/>
          </reference>
          <reference field="18" count="1" selected="0">
            <x v="1"/>
          </reference>
        </references>
      </pivotArea>
    </chartFormat>
    <chartFormat chart="5" format="631">
      <pivotArea type="data" outline="0" fieldPosition="0">
        <references count="4">
          <reference field="4294967294" count="1" selected="0">
            <x v="1"/>
          </reference>
          <reference field="9" count="1" selected="0">
            <x v="8"/>
          </reference>
          <reference field="17" count="1" selected="0">
            <x v="7"/>
          </reference>
          <reference field="18" count="1" selected="0">
            <x v="1"/>
          </reference>
        </references>
      </pivotArea>
    </chartFormat>
    <chartFormat chart="5" format="632">
      <pivotArea type="data" outline="0" fieldPosition="0">
        <references count="4">
          <reference field="4294967294" count="1" selected="0">
            <x v="2"/>
          </reference>
          <reference field="9" count="1" selected="0">
            <x v="8"/>
          </reference>
          <reference field="17" count="1" selected="0">
            <x v="7"/>
          </reference>
          <reference field="18" count="1" selected="0">
            <x v="1"/>
          </reference>
        </references>
      </pivotArea>
    </chartFormat>
    <chartFormat chart="5" format="633">
      <pivotArea type="data" outline="0" fieldPosition="0">
        <references count="4">
          <reference field="4294967294" count="1" selected="0">
            <x v="2"/>
          </reference>
          <reference field="9" count="1" selected="0">
            <x v="9"/>
          </reference>
          <reference field="17" count="1" selected="0">
            <x v="7"/>
          </reference>
          <reference field="18" count="1" selected="0">
            <x v="1"/>
          </reference>
        </references>
      </pivotArea>
    </chartFormat>
    <chartFormat chart="5" format="634">
      <pivotArea type="data" outline="0" fieldPosition="0">
        <references count="4">
          <reference field="4294967294" count="1" selected="0">
            <x v="0"/>
          </reference>
          <reference field="9" count="1" selected="0">
            <x v="0"/>
          </reference>
          <reference field="17" count="1" selected="0">
            <x v="8"/>
          </reference>
          <reference field="18" count="1" selected="0">
            <x v="1"/>
          </reference>
        </references>
      </pivotArea>
    </chartFormat>
    <chartFormat chart="5" format="635">
      <pivotArea type="data" outline="0" fieldPosition="0">
        <references count="4">
          <reference field="4294967294" count="1" selected="0">
            <x v="1"/>
          </reference>
          <reference field="9" count="1" selected="0">
            <x v="0"/>
          </reference>
          <reference field="17" count="1" selected="0">
            <x v="8"/>
          </reference>
          <reference field="18" count="1" selected="0">
            <x v="1"/>
          </reference>
        </references>
      </pivotArea>
    </chartFormat>
    <chartFormat chart="5" format="636">
      <pivotArea type="data" outline="0" fieldPosition="0">
        <references count="4">
          <reference field="4294967294" count="1" selected="0">
            <x v="2"/>
          </reference>
          <reference field="9" count="1" selected="0">
            <x v="0"/>
          </reference>
          <reference field="17" count="1" selected="0">
            <x v="8"/>
          </reference>
          <reference field="18" count="1" selected="0">
            <x v="1"/>
          </reference>
        </references>
      </pivotArea>
    </chartFormat>
    <chartFormat chart="5" format="637">
      <pivotArea type="data" outline="0" fieldPosition="0">
        <references count="4">
          <reference field="4294967294" count="1" selected="0">
            <x v="2"/>
          </reference>
          <reference field="9" count="1" selected="0">
            <x v="1"/>
          </reference>
          <reference field="17" count="1" selected="0">
            <x v="8"/>
          </reference>
          <reference field="18" count="1" selected="0">
            <x v="1"/>
          </reference>
        </references>
      </pivotArea>
    </chartFormat>
    <chartFormat chart="5" format="638">
      <pivotArea type="data" outline="0" fieldPosition="0">
        <references count="4">
          <reference field="4294967294" count="1" selected="0">
            <x v="2"/>
          </reference>
          <reference field="9" count="1" selected="0">
            <x v="2"/>
          </reference>
          <reference field="17" count="1" selected="0">
            <x v="8"/>
          </reference>
          <reference field="18" count="1" selected="0">
            <x v="1"/>
          </reference>
        </references>
      </pivotArea>
    </chartFormat>
    <chartFormat chart="5" format="639">
      <pivotArea type="data" outline="0" fieldPosition="0">
        <references count="4">
          <reference field="4294967294" count="1" selected="0">
            <x v="2"/>
          </reference>
          <reference field="9" count="1" selected="0">
            <x v="3"/>
          </reference>
          <reference field="17" count="1" selected="0">
            <x v="8"/>
          </reference>
          <reference field="18" count="1" selected="0">
            <x v="1"/>
          </reference>
        </references>
      </pivotArea>
    </chartFormat>
    <chartFormat chart="5" format="640">
      <pivotArea type="data" outline="0" fieldPosition="0">
        <references count="4">
          <reference field="4294967294" count="1" selected="0">
            <x v="0"/>
          </reference>
          <reference field="9" count="1" selected="0">
            <x v="4"/>
          </reference>
          <reference field="17" count="1" selected="0">
            <x v="8"/>
          </reference>
          <reference field="18" count="1" selected="0">
            <x v="1"/>
          </reference>
        </references>
      </pivotArea>
    </chartFormat>
    <chartFormat chart="5" format="641">
      <pivotArea type="data" outline="0" fieldPosition="0">
        <references count="4">
          <reference field="4294967294" count="1" selected="0">
            <x v="1"/>
          </reference>
          <reference field="9" count="1" selected="0">
            <x v="4"/>
          </reference>
          <reference field="17" count="1" selected="0">
            <x v="8"/>
          </reference>
          <reference field="18" count="1" selected="0">
            <x v="1"/>
          </reference>
        </references>
      </pivotArea>
    </chartFormat>
    <chartFormat chart="5" format="642">
      <pivotArea type="data" outline="0" fieldPosition="0">
        <references count="4">
          <reference field="4294967294" count="1" selected="0">
            <x v="2"/>
          </reference>
          <reference field="9" count="1" selected="0">
            <x v="4"/>
          </reference>
          <reference field="17" count="1" selected="0">
            <x v="8"/>
          </reference>
          <reference field="18" count="1" selected="0">
            <x v="1"/>
          </reference>
        </references>
      </pivotArea>
    </chartFormat>
    <chartFormat chart="5" format="643">
      <pivotArea type="data" outline="0" fieldPosition="0">
        <references count="4">
          <reference field="4294967294" count="1" selected="0">
            <x v="2"/>
          </reference>
          <reference field="9" count="1" selected="0">
            <x v="5"/>
          </reference>
          <reference field="17" count="1" selected="0">
            <x v="8"/>
          </reference>
          <reference field="18" count="1" selected="0">
            <x v="1"/>
          </reference>
        </references>
      </pivotArea>
    </chartFormat>
    <chartFormat chart="5" format="644">
      <pivotArea type="data" outline="0" fieldPosition="0">
        <references count="4">
          <reference field="4294967294" count="1" selected="0">
            <x v="2"/>
          </reference>
          <reference field="9" count="1" selected="0">
            <x v="6"/>
          </reference>
          <reference field="17" count="1" selected="0">
            <x v="8"/>
          </reference>
          <reference field="18" count="1" selected="0">
            <x v="1"/>
          </reference>
        </references>
      </pivotArea>
    </chartFormat>
    <chartFormat chart="5" format="645">
      <pivotArea type="data" outline="0" fieldPosition="0">
        <references count="4">
          <reference field="4294967294" count="1" selected="0">
            <x v="2"/>
          </reference>
          <reference field="9" count="1" selected="0">
            <x v="7"/>
          </reference>
          <reference field="17" count="1" selected="0">
            <x v="8"/>
          </reference>
          <reference field="18" count="1" selected="0">
            <x v="1"/>
          </reference>
        </references>
      </pivotArea>
    </chartFormat>
    <chartFormat chart="5" format="646">
      <pivotArea type="data" outline="0" fieldPosition="0">
        <references count="4">
          <reference field="4294967294" count="1" selected="0">
            <x v="0"/>
          </reference>
          <reference field="9" count="1" selected="0">
            <x v="8"/>
          </reference>
          <reference field="17" count="1" selected="0">
            <x v="8"/>
          </reference>
          <reference field="18" count="1" selected="0">
            <x v="1"/>
          </reference>
        </references>
      </pivotArea>
    </chartFormat>
    <chartFormat chart="5" format="647">
      <pivotArea type="data" outline="0" fieldPosition="0">
        <references count="4">
          <reference field="4294967294" count="1" selected="0">
            <x v="1"/>
          </reference>
          <reference field="9" count="1" selected="0">
            <x v="8"/>
          </reference>
          <reference field="17" count="1" selected="0">
            <x v="8"/>
          </reference>
          <reference field="18" count="1" selected="0">
            <x v="1"/>
          </reference>
        </references>
      </pivotArea>
    </chartFormat>
    <chartFormat chart="5" format="648">
      <pivotArea type="data" outline="0" fieldPosition="0">
        <references count="4">
          <reference field="4294967294" count="1" selected="0">
            <x v="2"/>
          </reference>
          <reference field="9" count="1" selected="0">
            <x v="8"/>
          </reference>
          <reference field="17" count="1" selected="0">
            <x v="8"/>
          </reference>
          <reference field="18" count="1" selected="0">
            <x v="1"/>
          </reference>
        </references>
      </pivotArea>
    </chartFormat>
    <chartFormat chart="5" format="649">
      <pivotArea type="data" outline="0" fieldPosition="0">
        <references count="4">
          <reference field="4294967294" count="1" selected="0">
            <x v="2"/>
          </reference>
          <reference field="9" count="1" selected="0">
            <x v="9"/>
          </reference>
          <reference field="17" count="1" selected="0">
            <x v="8"/>
          </reference>
          <reference field="18" count="1" selected="0">
            <x v="1"/>
          </reference>
        </references>
      </pivotArea>
    </chartFormat>
    <chartFormat chart="5" format="650">
      <pivotArea type="data" outline="0" fieldPosition="0">
        <references count="4">
          <reference field="4294967294" count="1" selected="0">
            <x v="0"/>
          </reference>
          <reference field="9" count="1" selected="0">
            <x v="0"/>
          </reference>
          <reference field="17" count="1" selected="0">
            <x v="9"/>
          </reference>
          <reference field="18" count="1" selected="0">
            <x v="1"/>
          </reference>
        </references>
      </pivotArea>
    </chartFormat>
    <chartFormat chart="5" format="651">
      <pivotArea type="data" outline="0" fieldPosition="0">
        <references count="4">
          <reference field="4294967294" count="1" selected="0">
            <x v="1"/>
          </reference>
          <reference field="9" count="1" selected="0">
            <x v="0"/>
          </reference>
          <reference field="17" count="1" selected="0">
            <x v="9"/>
          </reference>
          <reference field="18" count="1" selected="0">
            <x v="1"/>
          </reference>
        </references>
      </pivotArea>
    </chartFormat>
    <chartFormat chart="5" format="652">
      <pivotArea type="data" outline="0" fieldPosition="0">
        <references count="4">
          <reference field="4294967294" count="1" selected="0">
            <x v="2"/>
          </reference>
          <reference field="9" count="1" selected="0">
            <x v="0"/>
          </reference>
          <reference field="17" count="1" selected="0">
            <x v="9"/>
          </reference>
          <reference field="18" count="1" selected="0">
            <x v="1"/>
          </reference>
        </references>
      </pivotArea>
    </chartFormat>
    <chartFormat chart="5" format="653">
      <pivotArea type="data" outline="0" fieldPosition="0">
        <references count="4">
          <reference field="4294967294" count="1" selected="0">
            <x v="2"/>
          </reference>
          <reference field="9" count="1" selected="0">
            <x v="1"/>
          </reference>
          <reference field="17" count="1" selected="0">
            <x v="9"/>
          </reference>
          <reference field="18" count="1" selected="0">
            <x v="1"/>
          </reference>
        </references>
      </pivotArea>
    </chartFormat>
    <chartFormat chart="5" format="654">
      <pivotArea type="data" outline="0" fieldPosition="0">
        <references count="4">
          <reference field="4294967294" count="1" selected="0">
            <x v="2"/>
          </reference>
          <reference field="9" count="1" selected="0">
            <x v="2"/>
          </reference>
          <reference field="17" count="1" selected="0">
            <x v="9"/>
          </reference>
          <reference field="18" count="1" selected="0">
            <x v="1"/>
          </reference>
        </references>
      </pivotArea>
    </chartFormat>
    <chartFormat chart="5" format="655">
      <pivotArea type="data" outline="0" fieldPosition="0">
        <references count="4">
          <reference field="4294967294" count="1" selected="0">
            <x v="2"/>
          </reference>
          <reference field="9" count="1" selected="0">
            <x v="3"/>
          </reference>
          <reference field="17" count="1" selected="0">
            <x v="9"/>
          </reference>
          <reference field="18" count="1" selected="0">
            <x v="1"/>
          </reference>
        </references>
      </pivotArea>
    </chartFormat>
    <chartFormat chart="5" format="656">
      <pivotArea type="data" outline="0" fieldPosition="0">
        <references count="4">
          <reference field="4294967294" count="1" selected="0">
            <x v="0"/>
          </reference>
          <reference field="9" count="1" selected="0">
            <x v="4"/>
          </reference>
          <reference field="17" count="1" selected="0">
            <x v="9"/>
          </reference>
          <reference field="18" count="1" selected="0">
            <x v="1"/>
          </reference>
        </references>
      </pivotArea>
    </chartFormat>
    <chartFormat chart="5" format="657">
      <pivotArea type="data" outline="0" fieldPosition="0">
        <references count="4">
          <reference field="4294967294" count="1" selected="0">
            <x v="1"/>
          </reference>
          <reference field="9" count="1" selected="0">
            <x v="4"/>
          </reference>
          <reference field="17" count="1" selected="0">
            <x v="9"/>
          </reference>
          <reference field="18" count="1" selected="0">
            <x v="1"/>
          </reference>
        </references>
      </pivotArea>
    </chartFormat>
    <chartFormat chart="5" format="658">
      <pivotArea type="data" outline="0" fieldPosition="0">
        <references count="4">
          <reference field="4294967294" count="1" selected="0">
            <x v="2"/>
          </reference>
          <reference field="9" count="1" selected="0">
            <x v="4"/>
          </reference>
          <reference field="17" count="1" selected="0">
            <x v="9"/>
          </reference>
          <reference field="18" count="1" selected="0">
            <x v="1"/>
          </reference>
        </references>
      </pivotArea>
    </chartFormat>
    <chartFormat chart="5" format="659">
      <pivotArea type="data" outline="0" fieldPosition="0">
        <references count="4">
          <reference field="4294967294" count="1" selected="0">
            <x v="2"/>
          </reference>
          <reference field="9" count="1" selected="0">
            <x v="5"/>
          </reference>
          <reference field="17" count="1" selected="0">
            <x v="9"/>
          </reference>
          <reference field="18" count="1" selected="0">
            <x v="1"/>
          </reference>
        </references>
      </pivotArea>
    </chartFormat>
    <chartFormat chart="5" format="660">
      <pivotArea type="data" outline="0" fieldPosition="0">
        <references count="4">
          <reference field="4294967294" count="1" selected="0">
            <x v="2"/>
          </reference>
          <reference field="9" count="1" selected="0">
            <x v="6"/>
          </reference>
          <reference field="17" count="1" selected="0">
            <x v="9"/>
          </reference>
          <reference field="18" count="1" selected="0">
            <x v="1"/>
          </reference>
        </references>
      </pivotArea>
    </chartFormat>
    <chartFormat chart="5" format="661">
      <pivotArea type="data" outline="0" fieldPosition="0">
        <references count="4">
          <reference field="4294967294" count="1" selected="0">
            <x v="2"/>
          </reference>
          <reference field="9" count="1" selected="0">
            <x v="7"/>
          </reference>
          <reference field="17" count="1" selected="0">
            <x v="9"/>
          </reference>
          <reference field="18" count="1" selected="0">
            <x v="1"/>
          </reference>
        </references>
      </pivotArea>
    </chartFormat>
    <chartFormat chart="5" format="662">
      <pivotArea type="data" outline="0" fieldPosition="0">
        <references count="4">
          <reference field="4294967294" count="1" selected="0">
            <x v="0"/>
          </reference>
          <reference field="9" count="1" selected="0">
            <x v="8"/>
          </reference>
          <reference field="17" count="1" selected="0">
            <x v="9"/>
          </reference>
          <reference field="18" count="1" selected="0">
            <x v="1"/>
          </reference>
        </references>
      </pivotArea>
    </chartFormat>
    <chartFormat chart="5" format="663">
      <pivotArea type="data" outline="0" fieldPosition="0">
        <references count="4">
          <reference field="4294967294" count="1" selected="0">
            <x v="1"/>
          </reference>
          <reference field="9" count="1" selected="0">
            <x v="8"/>
          </reference>
          <reference field="17" count="1" selected="0">
            <x v="9"/>
          </reference>
          <reference field="18" count="1" selected="0">
            <x v="1"/>
          </reference>
        </references>
      </pivotArea>
    </chartFormat>
    <chartFormat chart="5" format="664">
      <pivotArea type="data" outline="0" fieldPosition="0">
        <references count="4">
          <reference field="4294967294" count="1" selected="0">
            <x v="2"/>
          </reference>
          <reference field="9" count="1" selected="0">
            <x v="8"/>
          </reference>
          <reference field="17" count="1" selected="0">
            <x v="9"/>
          </reference>
          <reference field="18" count="1" selected="0">
            <x v="1"/>
          </reference>
        </references>
      </pivotArea>
    </chartFormat>
    <chartFormat chart="5" format="665">
      <pivotArea type="data" outline="0" fieldPosition="0">
        <references count="4">
          <reference field="4294967294" count="1" selected="0">
            <x v="2"/>
          </reference>
          <reference field="9" count="1" selected="0">
            <x v="9"/>
          </reference>
          <reference field="17" count="1" selected="0">
            <x v="9"/>
          </reference>
          <reference field="18" count="1" selected="0">
            <x v="1"/>
          </reference>
        </references>
      </pivotArea>
    </chartFormat>
    <chartFormat chart="5" format="666">
      <pivotArea type="data" outline="0" fieldPosition="0">
        <references count="4">
          <reference field="4294967294" count="1" selected="0">
            <x v="0"/>
          </reference>
          <reference field="9" count="1" selected="0">
            <x v="0"/>
          </reference>
          <reference field="17" count="1" selected="0">
            <x v="10"/>
          </reference>
          <reference field="18" count="1" selected="0">
            <x v="1"/>
          </reference>
        </references>
      </pivotArea>
    </chartFormat>
    <chartFormat chart="5" format="667">
      <pivotArea type="data" outline="0" fieldPosition="0">
        <references count="4">
          <reference field="4294967294" count="1" selected="0">
            <x v="1"/>
          </reference>
          <reference field="9" count="1" selected="0">
            <x v="0"/>
          </reference>
          <reference field="17" count="1" selected="0">
            <x v="10"/>
          </reference>
          <reference field="18" count="1" selected="0">
            <x v="1"/>
          </reference>
        </references>
      </pivotArea>
    </chartFormat>
    <chartFormat chart="5" format="668">
      <pivotArea type="data" outline="0" fieldPosition="0">
        <references count="4">
          <reference field="4294967294" count="1" selected="0">
            <x v="2"/>
          </reference>
          <reference field="9" count="1" selected="0">
            <x v="0"/>
          </reference>
          <reference field="17" count="1" selected="0">
            <x v="10"/>
          </reference>
          <reference field="18" count="1" selected="0">
            <x v="1"/>
          </reference>
        </references>
      </pivotArea>
    </chartFormat>
    <chartFormat chart="5" format="669">
      <pivotArea type="data" outline="0" fieldPosition="0">
        <references count="4">
          <reference field="4294967294" count="1" selected="0">
            <x v="2"/>
          </reference>
          <reference field="9" count="1" selected="0">
            <x v="1"/>
          </reference>
          <reference field="17" count="1" selected="0">
            <x v="10"/>
          </reference>
          <reference field="18" count="1" selected="0">
            <x v="1"/>
          </reference>
        </references>
      </pivotArea>
    </chartFormat>
    <chartFormat chart="5" format="670">
      <pivotArea type="data" outline="0" fieldPosition="0">
        <references count="4">
          <reference field="4294967294" count="1" selected="0">
            <x v="2"/>
          </reference>
          <reference field="9" count="1" selected="0">
            <x v="2"/>
          </reference>
          <reference field="17" count="1" selected="0">
            <x v="10"/>
          </reference>
          <reference field="18" count="1" selected="0">
            <x v="1"/>
          </reference>
        </references>
      </pivotArea>
    </chartFormat>
    <chartFormat chart="5" format="671">
      <pivotArea type="data" outline="0" fieldPosition="0">
        <references count="4">
          <reference field="4294967294" count="1" selected="0">
            <x v="2"/>
          </reference>
          <reference field="9" count="1" selected="0">
            <x v="3"/>
          </reference>
          <reference field="17" count="1" selected="0">
            <x v="10"/>
          </reference>
          <reference field="18" count="1" selected="0">
            <x v="1"/>
          </reference>
        </references>
      </pivotArea>
    </chartFormat>
    <chartFormat chart="5" format="672">
      <pivotArea type="data" outline="0" fieldPosition="0">
        <references count="4">
          <reference field="4294967294" count="1" selected="0">
            <x v="0"/>
          </reference>
          <reference field="9" count="1" selected="0">
            <x v="4"/>
          </reference>
          <reference field="17" count="1" selected="0">
            <x v="10"/>
          </reference>
          <reference field="18" count="1" selected="0">
            <x v="1"/>
          </reference>
        </references>
      </pivotArea>
    </chartFormat>
    <chartFormat chart="5" format="673">
      <pivotArea type="data" outline="0" fieldPosition="0">
        <references count="4">
          <reference field="4294967294" count="1" selected="0">
            <x v="1"/>
          </reference>
          <reference field="9" count="1" selected="0">
            <x v="4"/>
          </reference>
          <reference field="17" count="1" selected="0">
            <x v="10"/>
          </reference>
          <reference field="18" count="1" selected="0">
            <x v="1"/>
          </reference>
        </references>
      </pivotArea>
    </chartFormat>
    <chartFormat chart="5" format="674">
      <pivotArea type="data" outline="0" fieldPosition="0">
        <references count="4">
          <reference field="4294967294" count="1" selected="0">
            <x v="2"/>
          </reference>
          <reference field="9" count="1" selected="0">
            <x v="4"/>
          </reference>
          <reference field="17" count="1" selected="0">
            <x v="10"/>
          </reference>
          <reference field="18" count="1" selected="0">
            <x v="1"/>
          </reference>
        </references>
      </pivotArea>
    </chartFormat>
    <chartFormat chart="5" format="675">
      <pivotArea type="data" outline="0" fieldPosition="0">
        <references count="4">
          <reference field="4294967294" count="1" selected="0">
            <x v="2"/>
          </reference>
          <reference field="9" count="1" selected="0">
            <x v="5"/>
          </reference>
          <reference field="17" count="1" selected="0">
            <x v="10"/>
          </reference>
          <reference field="18" count="1" selected="0">
            <x v="1"/>
          </reference>
        </references>
      </pivotArea>
    </chartFormat>
    <chartFormat chart="5" format="676">
      <pivotArea type="data" outline="0" fieldPosition="0">
        <references count="4">
          <reference field="4294967294" count="1" selected="0">
            <x v="2"/>
          </reference>
          <reference field="9" count="1" selected="0">
            <x v="6"/>
          </reference>
          <reference field="17" count="1" selected="0">
            <x v="10"/>
          </reference>
          <reference field="18" count="1" selected="0">
            <x v="1"/>
          </reference>
        </references>
      </pivotArea>
    </chartFormat>
    <chartFormat chart="5" format="677">
      <pivotArea type="data" outline="0" fieldPosition="0">
        <references count="4">
          <reference field="4294967294" count="1" selected="0">
            <x v="2"/>
          </reference>
          <reference field="9" count="1" selected="0">
            <x v="7"/>
          </reference>
          <reference field="17" count="1" selected="0">
            <x v="10"/>
          </reference>
          <reference field="18" count="1" selected="0">
            <x v="1"/>
          </reference>
        </references>
      </pivotArea>
    </chartFormat>
    <chartFormat chart="5" format="678">
      <pivotArea type="data" outline="0" fieldPosition="0">
        <references count="4">
          <reference field="4294967294" count="1" selected="0">
            <x v="0"/>
          </reference>
          <reference field="9" count="1" selected="0">
            <x v="8"/>
          </reference>
          <reference field="17" count="1" selected="0">
            <x v="10"/>
          </reference>
          <reference field="18" count="1" selected="0">
            <x v="1"/>
          </reference>
        </references>
      </pivotArea>
    </chartFormat>
    <chartFormat chart="5" format="679">
      <pivotArea type="data" outline="0" fieldPosition="0">
        <references count="4">
          <reference field="4294967294" count="1" selected="0">
            <x v="1"/>
          </reference>
          <reference field="9" count="1" selected="0">
            <x v="8"/>
          </reference>
          <reference field="17" count="1" selected="0">
            <x v="10"/>
          </reference>
          <reference field="18" count="1" selected="0">
            <x v="1"/>
          </reference>
        </references>
      </pivotArea>
    </chartFormat>
    <chartFormat chart="5" format="680">
      <pivotArea type="data" outline="0" fieldPosition="0">
        <references count="4">
          <reference field="4294967294" count="1" selected="0">
            <x v="2"/>
          </reference>
          <reference field="9" count="1" selected="0">
            <x v="8"/>
          </reference>
          <reference field="17" count="1" selected="0">
            <x v="10"/>
          </reference>
          <reference field="18" count="1" selected="0">
            <x v="1"/>
          </reference>
        </references>
      </pivotArea>
    </chartFormat>
    <chartFormat chart="5" format="681">
      <pivotArea type="data" outline="0" fieldPosition="0">
        <references count="4">
          <reference field="4294967294" count="1" selected="0">
            <x v="2"/>
          </reference>
          <reference field="9" count="1" selected="0">
            <x v="9"/>
          </reference>
          <reference field="17" count="1" selected="0">
            <x v="10"/>
          </reference>
          <reference field="18" count="1" selected="0">
            <x v="1"/>
          </reference>
        </references>
      </pivotArea>
    </chartFormat>
    <chartFormat chart="5" format="682">
      <pivotArea type="data" outline="0" fieldPosition="0">
        <references count="4">
          <reference field="4294967294" count="1" selected="0">
            <x v="0"/>
          </reference>
          <reference field="9" count="1" selected="0">
            <x v="0"/>
          </reference>
          <reference field="17" count="1" selected="0">
            <x v="11"/>
          </reference>
          <reference field="18" count="1" selected="0">
            <x v="1"/>
          </reference>
        </references>
      </pivotArea>
    </chartFormat>
    <chartFormat chart="5" format="683">
      <pivotArea type="data" outline="0" fieldPosition="0">
        <references count="4">
          <reference field="4294967294" count="1" selected="0">
            <x v="1"/>
          </reference>
          <reference field="9" count="1" selected="0">
            <x v="0"/>
          </reference>
          <reference field="17" count="1" selected="0">
            <x v="11"/>
          </reference>
          <reference field="18" count="1" selected="0">
            <x v="1"/>
          </reference>
        </references>
      </pivotArea>
    </chartFormat>
    <chartFormat chart="5" format="684">
      <pivotArea type="data" outline="0" fieldPosition="0">
        <references count="4">
          <reference field="4294967294" count="1" selected="0">
            <x v="2"/>
          </reference>
          <reference field="9" count="1" selected="0">
            <x v="0"/>
          </reference>
          <reference field="17" count="1" selected="0">
            <x v="11"/>
          </reference>
          <reference field="18" count="1" selected="0">
            <x v="1"/>
          </reference>
        </references>
      </pivotArea>
    </chartFormat>
    <chartFormat chart="5" format="685">
      <pivotArea type="data" outline="0" fieldPosition="0">
        <references count="4">
          <reference field="4294967294" count="1" selected="0">
            <x v="2"/>
          </reference>
          <reference field="9" count="1" selected="0">
            <x v="1"/>
          </reference>
          <reference field="17" count="1" selected="0">
            <x v="11"/>
          </reference>
          <reference field="18" count="1" selected="0">
            <x v="1"/>
          </reference>
        </references>
      </pivotArea>
    </chartFormat>
    <chartFormat chart="5" format="686">
      <pivotArea type="data" outline="0" fieldPosition="0">
        <references count="4">
          <reference field="4294967294" count="1" selected="0">
            <x v="2"/>
          </reference>
          <reference field="9" count="1" selected="0">
            <x v="2"/>
          </reference>
          <reference field="17" count="1" selected="0">
            <x v="11"/>
          </reference>
          <reference field="18" count="1" selected="0">
            <x v="1"/>
          </reference>
        </references>
      </pivotArea>
    </chartFormat>
    <chartFormat chart="5" format="687">
      <pivotArea type="data" outline="0" fieldPosition="0">
        <references count="4">
          <reference field="4294967294" count="1" selected="0">
            <x v="2"/>
          </reference>
          <reference field="9" count="1" selected="0">
            <x v="3"/>
          </reference>
          <reference field="17" count="1" selected="0">
            <x v="11"/>
          </reference>
          <reference field="18" count="1" selected="0">
            <x v="1"/>
          </reference>
        </references>
      </pivotArea>
    </chartFormat>
    <chartFormat chart="5" format="688">
      <pivotArea type="data" outline="0" fieldPosition="0">
        <references count="4">
          <reference field="4294967294" count="1" selected="0">
            <x v="0"/>
          </reference>
          <reference field="9" count="1" selected="0">
            <x v="4"/>
          </reference>
          <reference field="17" count="1" selected="0">
            <x v="11"/>
          </reference>
          <reference field="18" count="1" selected="0">
            <x v="1"/>
          </reference>
        </references>
      </pivotArea>
    </chartFormat>
    <chartFormat chart="5" format="689">
      <pivotArea type="data" outline="0" fieldPosition="0">
        <references count="4">
          <reference field="4294967294" count="1" selected="0">
            <x v="1"/>
          </reference>
          <reference field="9" count="1" selected="0">
            <x v="4"/>
          </reference>
          <reference field="17" count="1" selected="0">
            <x v="11"/>
          </reference>
          <reference field="18" count="1" selected="0">
            <x v="1"/>
          </reference>
        </references>
      </pivotArea>
    </chartFormat>
    <chartFormat chart="5" format="690">
      <pivotArea type="data" outline="0" fieldPosition="0">
        <references count="4">
          <reference field="4294967294" count="1" selected="0">
            <x v="2"/>
          </reference>
          <reference field="9" count="1" selected="0">
            <x v="4"/>
          </reference>
          <reference field="17" count="1" selected="0">
            <x v="11"/>
          </reference>
          <reference field="18" count="1" selected="0">
            <x v="1"/>
          </reference>
        </references>
      </pivotArea>
    </chartFormat>
    <chartFormat chart="5" format="691">
      <pivotArea type="data" outline="0" fieldPosition="0">
        <references count="4">
          <reference field="4294967294" count="1" selected="0">
            <x v="2"/>
          </reference>
          <reference field="9" count="1" selected="0">
            <x v="5"/>
          </reference>
          <reference field="17" count="1" selected="0">
            <x v="11"/>
          </reference>
          <reference field="18" count="1" selected="0">
            <x v="1"/>
          </reference>
        </references>
      </pivotArea>
    </chartFormat>
    <chartFormat chart="5" format="692">
      <pivotArea type="data" outline="0" fieldPosition="0">
        <references count="4">
          <reference field="4294967294" count="1" selected="0">
            <x v="2"/>
          </reference>
          <reference field="9" count="1" selected="0">
            <x v="6"/>
          </reference>
          <reference field="17" count="1" selected="0">
            <x v="11"/>
          </reference>
          <reference field="18" count="1" selected="0">
            <x v="1"/>
          </reference>
        </references>
      </pivotArea>
    </chartFormat>
    <chartFormat chart="5" format="693">
      <pivotArea type="data" outline="0" fieldPosition="0">
        <references count="4">
          <reference field="4294967294" count="1" selected="0">
            <x v="2"/>
          </reference>
          <reference field="9" count="1" selected="0">
            <x v="7"/>
          </reference>
          <reference field="17" count="1" selected="0">
            <x v="11"/>
          </reference>
          <reference field="18" count="1" selected="0">
            <x v="1"/>
          </reference>
        </references>
      </pivotArea>
    </chartFormat>
    <chartFormat chart="5" format="694">
      <pivotArea type="data" outline="0" fieldPosition="0">
        <references count="4">
          <reference field="4294967294" count="1" selected="0">
            <x v="0"/>
          </reference>
          <reference field="9" count="1" selected="0">
            <x v="8"/>
          </reference>
          <reference field="17" count="1" selected="0">
            <x v="11"/>
          </reference>
          <reference field="18" count="1" selected="0">
            <x v="1"/>
          </reference>
        </references>
      </pivotArea>
    </chartFormat>
    <chartFormat chart="5" format="695">
      <pivotArea type="data" outline="0" fieldPosition="0">
        <references count="4">
          <reference field="4294967294" count="1" selected="0">
            <x v="1"/>
          </reference>
          <reference field="9" count="1" selected="0">
            <x v="8"/>
          </reference>
          <reference field="17" count="1" selected="0">
            <x v="11"/>
          </reference>
          <reference field="18" count="1" selected="0">
            <x v="1"/>
          </reference>
        </references>
      </pivotArea>
    </chartFormat>
    <chartFormat chart="5" format="696">
      <pivotArea type="data" outline="0" fieldPosition="0">
        <references count="4">
          <reference field="4294967294" count="1" selected="0">
            <x v="2"/>
          </reference>
          <reference field="9" count="1" selected="0">
            <x v="8"/>
          </reference>
          <reference field="17" count="1" selected="0">
            <x v="11"/>
          </reference>
          <reference field="18" count="1" selected="0">
            <x v="1"/>
          </reference>
        </references>
      </pivotArea>
    </chartFormat>
    <chartFormat chart="5" format="697">
      <pivotArea type="data" outline="0" fieldPosition="0">
        <references count="4">
          <reference field="4294967294" count="1" selected="0">
            <x v="2"/>
          </reference>
          <reference field="9" count="1" selected="0">
            <x v="9"/>
          </reference>
          <reference field="17" count="1" selected="0">
            <x v="11"/>
          </reference>
          <reference field="18" count="1" selected="0">
            <x v="1"/>
          </reference>
        </references>
      </pivotArea>
    </chartFormat>
    <chartFormat chart="5" format="698">
      <pivotArea type="data" outline="0" fieldPosition="0">
        <references count="4">
          <reference field="4294967294" count="1" selected="0">
            <x v="0"/>
          </reference>
          <reference field="9" count="1" selected="0">
            <x v="0"/>
          </reference>
          <reference field="17" count="1" selected="0">
            <x v="12"/>
          </reference>
          <reference field="18" count="1" selected="0">
            <x v="1"/>
          </reference>
        </references>
      </pivotArea>
    </chartFormat>
    <chartFormat chart="5" format="699">
      <pivotArea type="data" outline="0" fieldPosition="0">
        <references count="4">
          <reference field="4294967294" count="1" selected="0">
            <x v="1"/>
          </reference>
          <reference field="9" count="1" selected="0">
            <x v="0"/>
          </reference>
          <reference field="17" count="1" selected="0">
            <x v="12"/>
          </reference>
          <reference field="18" count="1" selected="0">
            <x v="1"/>
          </reference>
        </references>
      </pivotArea>
    </chartFormat>
    <chartFormat chart="5" format="700">
      <pivotArea type="data" outline="0" fieldPosition="0">
        <references count="4">
          <reference field="4294967294" count="1" selected="0">
            <x v="2"/>
          </reference>
          <reference field="9" count="1" selected="0">
            <x v="0"/>
          </reference>
          <reference field="17" count="1" selected="0">
            <x v="12"/>
          </reference>
          <reference field="18" count="1" selected="0">
            <x v="1"/>
          </reference>
        </references>
      </pivotArea>
    </chartFormat>
    <chartFormat chart="5" format="701">
      <pivotArea type="data" outline="0" fieldPosition="0">
        <references count="4">
          <reference field="4294967294" count="1" selected="0">
            <x v="2"/>
          </reference>
          <reference field="9" count="1" selected="0">
            <x v="1"/>
          </reference>
          <reference field="17" count="1" selected="0">
            <x v="12"/>
          </reference>
          <reference field="18" count="1" selected="0">
            <x v="1"/>
          </reference>
        </references>
      </pivotArea>
    </chartFormat>
    <chartFormat chart="5" format="702">
      <pivotArea type="data" outline="0" fieldPosition="0">
        <references count="4">
          <reference field="4294967294" count="1" selected="0">
            <x v="2"/>
          </reference>
          <reference field="9" count="1" selected="0">
            <x v="2"/>
          </reference>
          <reference field="17" count="1" selected="0">
            <x v="12"/>
          </reference>
          <reference field="18" count="1" selected="0">
            <x v="1"/>
          </reference>
        </references>
      </pivotArea>
    </chartFormat>
    <chartFormat chart="5" format="703">
      <pivotArea type="data" outline="0" fieldPosition="0">
        <references count="4">
          <reference field="4294967294" count="1" selected="0">
            <x v="2"/>
          </reference>
          <reference field="9" count="1" selected="0">
            <x v="3"/>
          </reference>
          <reference field="17" count="1" selected="0">
            <x v="12"/>
          </reference>
          <reference field="18" count="1" selected="0">
            <x v="1"/>
          </reference>
        </references>
      </pivotArea>
    </chartFormat>
    <chartFormat chart="5" format="704">
      <pivotArea type="data" outline="0" fieldPosition="0">
        <references count="4">
          <reference field="4294967294" count="1" selected="0">
            <x v="0"/>
          </reference>
          <reference field="9" count="1" selected="0">
            <x v="4"/>
          </reference>
          <reference field="17" count="1" selected="0">
            <x v="12"/>
          </reference>
          <reference field="18" count="1" selected="0">
            <x v="1"/>
          </reference>
        </references>
      </pivotArea>
    </chartFormat>
    <chartFormat chart="5" format="705">
      <pivotArea type="data" outline="0" fieldPosition="0">
        <references count="4">
          <reference field="4294967294" count="1" selected="0">
            <x v="1"/>
          </reference>
          <reference field="9" count="1" selected="0">
            <x v="4"/>
          </reference>
          <reference field="17" count="1" selected="0">
            <x v="12"/>
          </reference>
          <reference field="18" count="1" selected="0">
            <x v="1"/>
          </reference>
        </references>
      </pivotArea>
    </chartFormat>
    <chartFormat chart="5" format="706">
      <pivotArea type="data" outline="0" fieldPosition="0">
        <references count="4">
          <reference field="4294967294" count="1" selected="0">
            <x v="2"/>
          </reference>
          <reference field="9" count="1" selected="0">
            <x v="4"/>
          </reference>
          <reference field="17" count="1" selected="0">
            <x v="12"/>
          </reference>
          <reference field="18" count="1" selected="0">
            <x v="1"/>
          </reference>
        </references>
      </pivotArea>
    </chartFormat>
    <chartFormat chart="5" format="707">
      <pivotArea type="data" outline="0" fieldPosition="0">
        <references count="4">
          <reference field="4294967294" count="1" selected="0">
            <x v="2"/>
          </reference>
          <reference field="9" count="1" selected="0">
            <x v="5"/>
          </reference>
          <reference field="17" count="1" selected="0">
            <x v="12"/>
          </reference>
          <reference field="18" count="1" selected="0">
            <x v="1"/>
          </reference>
        </references>
      </pivotArea>
    </chartFormat>
    <chartFormat chart="5" format="708">
      <pivotArea type="data" outline="0" fieldPosition="0">
        <references count="4">
          <reference field="4294967294" count="1" selected="0">
            <x v="2"/>
          </reference>
          <reference field="9" count="1" selected="0">
            <x v="6"/>
          </reference>
          <reference field="17" count="1" selected="0">
            <x v="12"/>
          </reference>
          <reference field="18" count="1" selected="0">
            <x v="1"/>
          </reference>
        </references>
      </pivotArea>
    </chartFormat>
    <chartFormat chart="5" format="709">
      <pivotArea type="data" outline="0" fieldPosition="0">
        <references count="4">
          <reference field="4294967294" count="1" selected="0">
            <x v="2"/>
          </reference>
          <reference field="9" count="1" selected="0">
            <x v="7"/>
          </reference>
          <reference field="17" count="1" selected="0">
            <x v="12"/>
          </reference>
          <reference field="18" count="1" selected="0">
            <x v="1"/>
          </reference>
        </references>
      </pivotArea>
    </chartFormat>
    <chartFormat chart="5" format="710">
      <pivotArea type="data" outline="0" fieldPosition="0">
        <references count="4">
          <reference field="4294967294" count="1" selected="0">
            <x v="0"/>
          </reference>
          <reference field="9" count="1" selected="0">
            <x v="8"/>
          </reference>
          <reference field="17" count="1" selected="0">
            <x v="12"/>
          </reference>
          <reference field="18" count="1" selected="0">
            <x v="1"/>
          </reference>
        </references>
      </pivotArea>
    </chartFormat>
    <chartFormat chart="5" format="711">
      <pivotArea type="data" outline="0" fieldPosition="0">
        <references count="4">
          <reference field="4294967294" count="1" selected="0">
            <x v="1"/>
          </reference>
          <reference field="9" count="1" selected="0">
            <x v="8"/>
          </reference>
          <reference field="17" count="1" selected="0">
            <x v="12"/>
          </reference>
          <reference field="18" count="1" selected="0">
            <x v="1"/>
          </reference>
        </references>
      </pivotArea>
    </chartFormat>
    <chartFormat chart="5" format="712">
      <pivotArea type="data" outline="0" fieldPosition="0">
        <references count="4">
          <reference field="4294967294" count="1" selected="0">
            <x v="2"/>
          </reference>
          <reference field="9" count="1" selected="0">
            <x v="8"/>
          </reference>
          <reference field="17" count="1" selected="0">
            <x v="12"/>
          </reference>
          <reference field="18" count="1" selected="0">
            <x v="1"/>
          </reference>
        </references>
      </pivotArea>
    </chartFormat>
    <chartFormat chart="5" format="713">
      <pivotArea type="data" outline="0" fieldPosition="0">
        <references count="4">
          <reference field="4294967294" count="1" selected="0">
            <x v="2"/>
          </reference>
          <reference field="9" count="1" selected="0">
            <x v="9"/>
          </reference>
          <reference field="17" count="1" selected="0">
            <x v="12"/>
          </reference>
          <reference field="18"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PERACIÓN" xr10:uid="{A16F49AA-A561-48D4-9BE0-789FF75C4902}" sourceName="OPERACIÓN">
  <pivotTables>
    <pivotTable tabId="116" name="TD2"/>
  </pivotTables>
  <data>
    <tabular pivotCacheId="2103166967">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CEPTO" xr10:uid="{4994AFF3-4C21-4454-8197-E1DE1A04827F}" sourceName="CONCEPTO">
  <pivotTables>
    <pivotTable tabId="116" name="TD2"/>
  </pivotTables>
  <data>
    <tabular pivotCacheId="2103166967">
      <items count="12">
        <i x="10" s="1"/>
        <i x="7" s="1"/>
        <i x="3" s="1"/>
        <i x="2" s="1"/>
        <i x="4" s="1"/>
        <i x="1" s="1"/>
        <i x="5" s="1"/>
        <i x="6" s="1"/>
        <i x="0" s="1"/>
        <i x="9" s="1"/>
        <i x="11" s="1"/>
        <i x="8"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es" xr10:uid="{04F5A335-BB4D-4FAC-ADEF-816B806C25B6}" sourceName="Meses">
  <pivotTables>
    <pivotTable tabId="116" name="TD2"/>
  </pivotTables>
  <data>
    <tabular pivotCacheId="21031669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s" xr10:uid="{92A89134-3B5F-42F7-983E-0CD83B7FF8AF}" sourceName="Años">
  <pivotTables>
    <pivotTable tabId="116" name="TD2"/>
  </pivotTables>
  <data>
    <tabular pivotCacheId="2103166967">
      <items count="3">
        <i x="1" s="1"/>
        <i x="0" nd="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CIÓN 1" xr10:uid="{F1DAEBE6-24EF-4DC3-AB4F-7959CE3F4FCA}" cache="SegmentaciónDeDatos_OPERACIÓN" caption="OPERACIÓN" rowHeight="216000"/>
  <slicer name="CONCEPTO 1" xr10:uid="{1D94D4A0-E954-4643-BF40-273390441554}" cache="SegmentaciónDeDatos_CONCEPTO" caption="CONCEPTO" startItem="2" rowHeight="216000"/>
  <slicer name="Meses 1" xr10:uid="{C535FFDB-8A0B-4CD5-BF92-D379A1BA1C54}" cache="SegmentaciónDeDatos_Meses" caption="Meses" columnCount="2" rowHeight="216000"/>
  <slicer name="Años 1" xr10:uid="{96833228-2522-4CD8-9850-6417E20BA72F}" cache="SegmentaciónDeDatos_Años" caption="Años"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C4D283-87F1-4505-838E-72169FE32446}" name="BD_ENTSAL" displayName="BD_ENTSAL" ref="B10:R569" totalsRowShown="0" headerRowDxfId="109" dataDxfId="108" tableBorderDxfId="107">
  <autoFilter ref="B10:R569" xr:uid="{DBC3C5B6-5008-4789-A7F7-328ABACB58B3}">
    <filterColumn colId="8">
      <filters>
        <filter val="Salida"/>
      </filters>
    </filterColumn>
    <filterColumn colId="9">
      <filters>
        <filter val="Vermicomposta"/>
      </filters>
    </filterColumn>
    <filterColumn colId="10">
      <filters>
        <filter val="Biofertilizantes"/>
      </filters>
    </filterColumn>
  </autoFilter>
  <sortState xmlns:xlrd2="http://schemas.microsoft.com/office/spreadsheetml/2017/richdata2" ref="B11:R623">
    <sortCondition ref="E11:E623"/>
  </sortState>
  <tableColumns count="17">
    <tableColumn id="1" xr3:uid="{B36D07DA-44A6-4F65-8D79-2EB6C415F803}" name="ID" dataDxfId="106"/>
    <tableColumn id="2" xr3:uid="{2941CCF7-172E-48B1-B81F-CE458EC536BB}" name="FOLIO" dataDxfId="105"/>
    <tableColumn id="3" xr3:uid="{80C9A545-8E88-4852-ABBE-AEC981318CE7}" name="SEM." dataDxfId="104" dataCellStyle="Normal 2 2">
      <calculatedColumnFormula>WEEKNUM(E11,21)</calculatedColumnFormula>
    </tableColumn>
    <tableColumn id="4" xr3:uid="{89F39FB3-6C8F-4015-A020-9B32A1804349}" name="FECHA" dataDxfId="103"/>
    <tableColumn id="5" xr3:uid="{2A740E7D-69A2-40E2-B032-1B0C64D109AC}" name="CLIENTE" dataDxfId="102"/>
    <tableColumn id="8" xr3:uid="{6A7CBB2A-82A7-4C29-8D1B-DC0559A22451}" name="RESP. ÁREA" dataDxfId="101"/>
    <tableColumn id="6" xr3:uid="{865E61A0-16A8-4561-88B4-127940726D5B}" name="RANCHO" dataDxfId="100"/>
    <tableColumn id="7" xr3:uid="{17F0E3F0-2C6D-44BC-B5C5-2EDC2F8EA98B}" name="# Orden compras" dataDxfId="99"/>
    <tableColumn id="24" xr3:uid="{D3F45BCE-00DD-42EA-8C18-CE201AC7E33F}" name="OPERACIÓN" dataDxfId="98"/>
    <tableColumn id="23" xr3:uid="{D01844E4-965E-4D76-AEA4-5EC33EA54163}" name="CONCEPTO" dataDxfId="97"/>
    <tableColumn id="31" xr3:uid="{71C00BF8-22AC-4FEC-BE80-7A9E2959CA9F}" name="DEPTO." dataDxfId="96"/>
    <tableColumn id="26" xr3:uid="{50C52AE3-9CEC-4730-AB43-515F19D80F76}" name="$/COSTO" dataDxfId="95"/>
    <tableColumn id="25" xr3:uid="{1CD34FB8-72E1-4113-987A-50D696E157FA}" name="$/VENTA" dataDxfId="94"/>
    <tableColumn id="22" xr3:uid="{7CB42405-6BEF-48F0-B105-F4A381DF7EF6}" name="PRODUCCIÓN" dataDxfId="93"/>
    <tableColumn id="21" xr3:uid="{8A657FF9-0628-4815-B7E5-DE5EEF4C51DB}" name="SALIDA" dataDxfId="92"/>
    <tableColumn id="28" xr3:uid="{AC831DD8-59B7-4BA9-AFA3-49B21D974B4D}" name="($) COSTO" dataDxfId="91">
      <calculatedColumnFormula>IF((M11*O11)&lt;=0,"",(M11*O11))</calculatedColumnFormula>
    </tableColumn>
    <tableColumn id="29" xr3:uid="{089072F0-BF22-491C-A6F0-AC91133C12A2}" name="($) VENTA" dataDxfId="90">
      <calculatedColumnFormula>IF((N11*P11)&lt;=0,"",(N11*P11))</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36330F-4517-4815-A058-DE8E8286A96A}" name="Tabla10" displayName="Tabla10" ref="AH5:AH23" totalsRowShown="0">
  <autoFilter ref="AH5:AH23" xr:uid="{DC36330F-4517-4815-A058-DE8E8286A96A}"/>
  <tableColumns count="1">
    <tableColumn id="1" xr3:uid="{57B2E0C4-532E-4222-AC22-A0D8A230A5D7}" name="Zona_C"/>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B21241-5F75-4A28-B998-0997914229AA}" name="Tabla11" displayName="Tabla11" ref="AJ5:AJ18" totalsRowShown="0">
  <autoFilter ref="AJ5:AJ18" xr:uid="{99B21241-5F75-4A28-B998-0997914229AA}"/>
  <tableColumns count="1">
    <tableColumn id="1" xr3:uid="{3533EC64-D598-4983-B17C-B08956AAF15C}" name="Zona_D"/>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5AA8E26-8645-4067-BB01-DBE25DE68F4E}" name="Tabla12" displayName="Tabla12" ref="AL5:AL16" totalsRowShown="0">
  <autoFilter ref="AL5:AL16" xr:uid="{75AA8E26-8645-4067-BB01-DBE25DE68F4E}"/>
  <tableColumns count="1">
    <tableColumn id="1" xr3:uid="{2E9169B4-35EB-4E73-A395-B99136FDF6C8}" name="Zona_E"/>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500AE4-27E7-48CB-AC48-3D578304698E}" name="Tabla13" displayName="Tabla13" ref="AN5:AN13" totalsRowShown="0">
  <autoFilter ref="AN5:AN13" xr:uid="{00500AE4-27E7-48CB-AC48-3D578304698E}"/>
  <tableColumns count="1">
    <tableColumn id="1" xr3:uid="{99EBD155-0B91-4AC2-9C7B-6F47EC8797A3}" name="Zona_F"/>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796D11-57F3-4933-9E58-C69F01861A80}" name="Tabla14" displayName="Tabla14" ref="AP5:AP9" totalsRowShown="0">
  <autoFilter ref="AP5:AP9" xr:uid="{8F796D11-57F3-4933-9E58-C69F01861A80}"/>
  <tableColumns count="1">
    <tableColumn id="1" xr3:uid="{90F7D97C-F714-44E6-BF37-796BF639F6BF}" name="Zona_G"/>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3F3588F-F9D8-47EF-A2DD-B797E5EAB483}" name="Tabla17" displayName="Tabla17" ref="AR5:AR9" totalsRowShown="0">
  <autoFilter ref="AR5:AR9" xr:uid="{13F3588F-F9D8-47EF-A2DD-B797E5EAB483}"/>
  <tableColumns count="1">
    <tableColumn id="1" xr3:uid="{315F0FA7-6525-41A7-A6CA-9F2715046934}" name="Zona_I"/>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FD17975-99CD-46EB-A5A2-2AB0387BD2BB}" name="Tabla18" displayName="Tabla18" ref="AT5:AT10" totalsRowShown="0">
  <autoFilter ref="AT5:AT10" xr:uid="{5FD17975-99CD-46EB-A5A2-2AB0387BD2BB}"/>
  <tableColumns count="1">
    <tableColumn id="1" xr3:uid="{A2AF41D0-F418-4654-A027-A81475A33F0D}" name="Zona_V"/>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960DE7-1FAE-4353-B2FE-DA3B4D805933}" name="Tabla3" displayName="Tabla3" ref="X5:X8" totalsRowShown="0">
  <autoFilter ref="X5:X8" xr:uid="{A1960DE7-1FAE-4353-B2FE-DA3B4D805933}"/>
  <tableColumns count="1">
    <tableColumn id="1" xr3:uid="{E7C85DC0-309B-4192-8025-DB78521D2732}" name="Control_Biologico"/>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E247D24-1DC4-4F09-A15A-4064F64AA712}" name="Tabla20" displayName="Tabla20" ref="AB5:AB7" totalsRowShown="0">
  <autoFilter ref="AB5:AB7" xr:uid="{DE247D24-1DC4-4F09-A15A-4064F64AA712}"/>
  <tableColumns count="1">
    <tableColumn id="1" xr3:uid="{B78C3AE1-DDBC-45EE-95A8-EC3AC7C112DB}" name="MultiRoot_P"/>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F196503-013F-40AA-8EF3-C6E468A6CAAE}" name="Proceso" displayName="Proceso" ref="B6:B8" totalsRowShown="0">
  <autoFilter ref="B6:B8" xr:uid="{6F196503-013F-40AA-8EF3-C6E468A6CAAE}"/>
  <tableColumns count="1">
    <tableColumn id="1" xr3:uid="{930E59D6-0DB4-4BA1-AF36-46A1F2365B0C}" name="PROCESO"/>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99EA585-19DE-4CBF-8F5E-164BB9F7490F}" name="Concepto" displayName="Concepto" ref="D5:D17" totalsRowShown="0">
  <autoFilter ref="D5:D17" xr:uid="{099EA585-19DE-4CBF-8F5E-164BB9F7490F}"/>
  <sortState xmlns:xlrd2="http://schemas.microsoft.com/office/spreadsheetml/2017/richdata2" ref="D6:D17">
    <sortCondition ref="D6"/>
  </sortState>
  <tableColumns count="1">
    <tableColumn id="1" xr3:uid="{4F56983F-BC2F-4374-97DB-A6C3E1FF12C9}" name="CONCEPTO"/>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D5070DC-7F6B-4979-B513-36667ED7D68F}" name="Tabla16" displayName="Tabla16" ref="G5:R9" totalsRowShown="0" headerRowDxfId="89" dataDxfId="88" tableBorderDxfId="87">
  <autoFilter ref="G5:R9" xr:uid="{5D5070DC-7F6B-4979-B513-36667ED7D68F}"/>
  <tableColumns count="12">
    <tableColumn id="1" xr3:uid="{816A07F0-D35F-433F-B0AA-1D808ABCA1A1}" name="Crisopas" dataDxfId="86"/>
    <tableColumn id="2" xr3:uid="{7E2BB12F-EFBD-4E0D-B34D-70D31CFE26B6}" name="Miel" dataDxfId="85"/>
    <tableColumn id="3" xr3:uid="{FAE7FC0F-959D-454F-AC97-02E4DFE40CD2}" name="Jadam" dataDxfId="84"/>
    <tableColumn id="6" xr3:uid="{C881BB00-1F7D-471F-B1C6-0DE614CDF6F7}" name="Trips_AV" dataDxfId="83"/>
    <tableColumn id="10" xr3:uid="{1B6A9668-EFDA-45C1-87A9-7DE8046C658E}" name="MD_Citri" dataDxfId="82"/>
    <tableColumn id="12" xr3:uid="{FFE9BF23-F6C2-4940-8277-892B56B9A1C3}" name="CitroFol_D" dataDxfId="81"/>
    <tableColumn id="11" xr3:uid="{9BAE9E01-BE87-4647-B18E-4070FA6E3723}" name="Ter_Can" dataDxfId="80"/>
    <tableColumn id="7" xr3:uid="{E1DD45CD-0EE2-4E0E-B909-43DC66B4A581}" name="Composta" dataDxfId="79"/>
    <tableColumn id="9" xr3:uid="{D86C0825-2E82-4AB7-AEF2-44F7B6CCFAAC}" name="Lixiviado" dataDxfId="78"/>
    <tableColumn id="8" xr3:uid="{9AAEF2D0-024D-4F6C-A4E2-3A7B62DEF382}" name="Vermicomposta" dataDxfId="77"/>
    <tableColumn id="4" xr3:uid="{EFA8051A-3583-4769-8815-1FA4A88FAED2}" name="MultiRoot" dataDxfId="76"/>
    <tableColumn id="5" xr3:uid="{D7FEB880-2C32-4DE6-AC02-1EF3AB0336E9}" name="Nitrabor_Liq" dataDxfId="7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950B06-5DC5-4519-9793-D201E5ECFC41}" name="Tabla2" displayName="Tabla2" ref="T5:T18" totalsRowShown="0">
  <autoFilter ref="T5:T18" xr:uid="{A1950B06-5DC5-4519-9793-D201E5ECFC41}"/>
  <tableColumns count="1">
    <tableColumn id="1" xr3:uid="{218C7E05-AF55-42FB-B5A0-3AE00BF239EE}" name="CLIENTE"/>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ABF0C3-4A53-4B73-B1CD-E69D2F7F7450}" name="Tabla5" displayName="Tabla5" ref="V5:V6" totalsRowShown="0">
  <autoFilter ref="V5:V6" xr:uid="{59ABF0C3-4A53-4B73-B1CD-E69D2F7F7450}"/>
  <tableColumns count="1">
    <tableColumn id="1" xr3:uid="{2C157437-D064-48D0-884E-B122D2791F65}" name="Almace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740AC6-454F-41E4-AB00-2793579BD619}" name="Tabla6" displayName="Tabla6" ref="Z5:Z11" totalsRowShown="0">
  <autoFilter ref="Z5:Z11" xr:uid="{97740AC6-454F-41E4-AB00-2793579BD619}"/>
  <tableColumns count="1">
    <tableColumn id="1" xr3:uid="{1185CE6B-9844-43C9-A343-3D95C0D155DC}" name="Externo"/>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EE0A46-9CB0-49E4-8F31-08FC8960587B}" name="Tabla7" displayName="Tabla7" ref="AD5:AD22" totalsRowShown="0">
  <autoFilter ref="AD5:AD22" xr:uid="{12EE0A46-9CB0-49E4-8F31-08FC8960587B}"/>
  <tableColumns count="1">
    <tableColumn id="1" xr3:uid="{FD2A76FF-AB90-41BB-B1F3-344EFCE8C23E}" name="Zona_A"/>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219B95-30DE-4626-AEA4-7DEC5D7E3267}" name="Tabla8" displayName="Tabla8" ref="AF5:AF15" totalsRowShown="0">
  <autoFilter ref="AF5:AF15" xr:uid="{D1219B95-30DE-4626-AEA4-7DEC5D7E3267}"/>
  <tableColumns count="1">
    <tableColumn id="1" xr3:uid="{A7A9E7AA-C289-46D5-BA95-C5CFD3D21856}" name="Zona_B"/>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vmlDrawing" Target="../drawings/vmlDrawing8.vml"/><Relationship Id="rId16" Type="http://schemas.openxmlformats.org/officeDocument/2006/relationships/table" Target="../tables/table15.xml"/><Relationship Id="rId20" Type="http://schemas.openxmlformats.org/officeDocument/2006/relationships/comments" Target="../comments8.xml"/><Relationship Id="rId1" Type="http://schemas.openxmlformats.org/officeDocument/2006/relationships/printerSettings" Target="../printerSettings/printerSettings10.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85FF-1585-4B63-8DCA-90914516B20F}">
  <dimension ref="B9:F61"/>
  <sheetViews>
    <sheetView workbookViewId="0"/>
  </sheetViews>
  <sheetFormatPr baseColWidth="10" defaultRowHeight="15"/>
  <cols>
    <col min="2" max="2" width="17" bestFit="1" customWidth="1"/>
    <col min="3" max="3" width="12.140625" customWidth="1"/>
    <col min="4" max="4" width="9.7109375" customWidth="1"/>
    <col min="5" max="5" width="13.28515625" customWidth="1"/>
    <col min="6" max="6" width="25.140625" customWidth="1"/>
  </cols>
  <sheetData>
    <row r="9" spans="2:4">
      <c r="C9" t="s">
        <v>84</v>
      </c>
      <c r="D9" t="s">
        <v>71</v>
      </c>
    </row>
    <row r="10" spans="2:4">
      <c r="B10" s="1086" t="s">
        <v>934</v>
      </c>
      <c r="C10" s="1373">
        <v>3542.8689999999997</v>
      </c>
      <c r="D10" s="80">
        <v>2184.5</v>
      </c>
    </row>
    <row r="11" spans="2:4">
      <c r="B11" s="1086" t="s">
        <v>935</v>
      </c>
      <c r="C11" s="1360">
        <v>64.619</v>
      </c>
      <c r="D11" s="475">
        <v>58.991</v>
      </c>
    </row>
    <row r="12" spans="2:4">
      <c r="B12" s="1063" t="s">
        <v>941</v>
      </c>
      <c r="C12" s="1372">
        <v>850000</v>
      </c>
      <c r="D12" s="80">
        <f>('Edo Financiero 2023'!D189)</f>
        <v>708030</v>
      </c>
    </row>
    <row r="13" spans="2:4">
      <c r="B13" s="1063" t="s">
        <v>936</v>
      </c>
      <c r="C13" s="1373">
        <v>143000</v>
      </c>
      <c r="D13" s="80">
        <f>('Edo Financiero 2023'!D190)</f>
        <v>94300</v>
      </c>
    </row>
    <row r="14" spans="2:4">
      <c r="B14" s="1063" t="s">
        <v>937</v>
      </c>
      <c r="C14" s="1373">
        <v>282000</v>
      </c>
      <c r="D14" s="80">
        <f>('Edo Financiero 2023'!D187)</f>
        <v>241004.375</v>
      </c>
    </row>
    <row r="15" spans="2:4">
      <c r="B15" t="s">
        <v>938</v>
      </c>
      <c r="C15" s="1373">
        <v>157000</v>
      </c>
      <c r="D15" s="80">
        <f>('Edo Financiero 2023'!D191)</f>
        <v>157000</v>
      </c>
    </row>
    <row r="16" spans="2:4">
      <c r="B16" s="1063" t="s">
        <v>939</v>
      </c>
      <c r="C16" s="1373">
        <v>37500</v>
      </c>
      <c r="D16" s="80">
        <f>SUM('Edo Financiero 2023'!D185:D186)</f>
        <v>35260</v>
      </c>
    </row>
    <row r="17" spans="2:4">
      <c r="B17" s="1063" t="s">
        <v>940</v>
      </c>
      <c r="C17" s="1373">
        <v>6000</v>
      </c>
      <c r="D17" s="80">
        <v>5460</v>
      </c>
    </row>
    <row r="18" spans="2:4">
      <c r="B18" s="1063" t="s">
        <v>942</v>
      </c>
      <c r="C18" s="1373">
        <v>14200</v>
      </c>
      <c r="D18" s="80">
        <v>13980</v>
      </c>
    </row>
    <row r="19" spans="2:4">
      <c r="B19" s="1063" t="s">
        <v>943</v>
      </c>
      <c r="C19" s="1373">
        <v>2000</v>
      </c>
      <c r="D19" s="80">
        <v>1400</v>
      </c>
    </row>
    <row r="20" spans="2:4">
      <c r="B20" s="1063" t="s">
        <v>944</v>
      </c>
      <c r="C20" s="1373">
        <v>2000</v>
      </c>
      <c r="D20" s="80">
        <v>1500</v>
      </c>
    </row>
    <row r="52" spans="2:6" s="1294" customFormat="1" ht="45">
      <c r="B52" s="1424"/>
      <c r="C52" s="1425" t="s">
        <v>951</v>
      </c>
      <c r="D52" s="1425" t="s">
        <v>952</v>
      </c>
      <c r="E52" s="1425" t="s">
        <v>953</v>
      </c>
      <c r="F52" s="1426" t="s">
        <v>957</v>
      </c>
    </row>
    <row r="53" spans="2:6">
      <c r="B53" s="1427" t="s">
        <v>935</v>
      </c>
      <c r="C53" s="1428">
        <v>14.261665966386554</v>
      </c>
      <c r="D53" s="1428">
        <v>61.443571428571424</v>
      </c>
      <c r="E53" s="1429">
        <f>(D53/C53)</f>
        <v>4.3083025204340304</v>
      </c>
      <c r="F53" s="1430" t="s">
        <v>955</v>
      </c>
    </row>
    <row r="54" spans="2:6" hidden="1">
      <c r="B54" s="1427" t="s">
        <v>941</v>
      </c>
      <c r="C54" s="1431"/>
      <c r="D54" s="1431"/>
      <c r="E54" s="1432"/>
      <c r="F54" s="325"/>
    </row>
    <row r="55" spans="2:6" hidden="1">
      <c r="B55" s="1427" t="s">
        <v>936</v>
      </c>
      <c r="C55" s="1431"/>
      <c r="D55" s="1431"/>
      <c r="E55" s="1432"/>
      <c r="F55" s="325"/>
    </row>
    <row r="56" spans="2:6" hidden="1">
      <c r="B56" s="1427" t="s">
        <v>937</v>
      </c>
      <c r="C56" s="1431"/>
      <c r="D56" s="1431"/>
      <c r="E56" s="1432"/>
      <c r="F56" s="325"/>
    </row>
    <row r="57" spans="2:6" s="1294" customFormat="1" ht="30">
      <c r="B57" s="1433" t="s">
        <v>939</v>
      </c>
      <c r="C57" s="1434">
        <v>24920</v>
      </c>
      <c r="D57" s="1434">
        <v>20560</v>
      </c>
      <c r="E57" s="1435">
        <f>(D57/C57)</f>
        <v>0.8250401284109149</v>
      </c>
      <c r="F57" s="1436" t="s">
        <v>956</v>
      </c>
    </row>
    <row r="58" spans="2:6">
      <c r="B58" s="1427" t="s">
        <v>940</v>
      </c>
      <c r="C58" s="1434">
        <f>_xlfn.CEILING.MATH(2356.51603641457,20)</f>
        <v>2360</v>
      </c>
      <c r="D58" s="1434">
        <v>5240</v>
      </c>
      <c r="E58" s="1429">
        <f>(D58/C58)</f>
        <v>2.2203389830508473</v>
      </c>
      <c r="F58" s="1430" t="s">
        <v>954</v>
      </c>
    </row>
    <row r="59" spans="2:6">
      <c r="B59" s="1427" t="s">
        <v>942</v>
      </c>
      <c r="C59" s="1434">
        <f>_xlfn.CEILING.MATH(2356.51603641457,20)</f>
        <v>2360</v>
      </c>
      <c r="D59" s="1434">
        <v>13760</v>
      </c>
      <c r="E59" s="1429">
        <f>(D59/C59)</f>
        <v>5.8305084745762707</v>
      </c>
      <c r="F59" s="1430" t="s">
        <v>954</v>
      </c>
    </row>
    <row r="60" spans="2:6">
      <c r="B60" s="1427" t="s">
        <v>943</v>
      </c>
      <c r="C60" s="1434">
        <f>CEILING(4713.03207282913,20)</f>
        <v>4720</v>
      </c>
      <c r="D60" s="1434">
        <v>1180</v>
      </c>
      <c r="E60" s="1429">
        <f>(D60/C60)</f>
        <v>0.25</v>
      </c>
      <c r="F60" s="1430" t="s">
        <v>958</v>
      </c>
    </row>
    <row r="61" spans="2:6" hidden="1">
      <c r="B61" s="1063" t="s">
        <v>944</v>
      </c>
    </row>
  </sheetData>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AE8B-D4EF-461B-AD8A-AFF1B5510D80}">
  <sheetPr codeName="Hoja5">
    <tabColor theme="5"/>
  </sheetPr>
  <dimension ref="B4:AT23"/>
  <sheetViews>
    <sheetView workbookViewId="0"/>
  </sheetViews>
  <sheetFormatPr baseColWidth="10" defaultRowHeight="15"/>
  <cols>
    <col min="3" max="3" width="4.28515625" customWidth="1"/>
    <col min="4" max="4" width="15" bestFit="1" customWidth="1"/>
    <col min="5" max="5" width="4.28515625" customWidth="1"/>
    <col min="6" max="6" width="15.5703125" bestFit="1" customWidth="1"/>
    <col min="7" max="7" width="16.28515625" bestFit="1" customWidth="1"/>
    <col min="8" max="8" width="10.28515625" bestFit="1" customWidth="1"/>
    <col min="9" max="11" width="14.28515625" bestFit="1" customWidth="1"/>
    <col min="12" max="13" width="14.28515625" customWidth="1"/>
    <col min="14" max="15" width="14.5703125" bestFit="1" customWidth="1"/>
    <col min="16" max="16" width="17.42578125" bestFit="1" customWidth="1"/>
    <col min="17" max="18" width="14.5703125" bestFit="1" customWidth="1"/>
    <col min="19" max="19" width="5.28515625" customWidth="1"/>
    <col min="20" max="20" width="16.85546875" bestFit="1" customWidth="1"/>
    <col min="21" max="21" width="5.140625" customWidth="1"/>
    <col min="22" max="22" width="17.85546875" bestFit="1" customWidth="1"/>
    <col min="23" max="23" width="2.42578125" customWidth="1"/>
    <col min="24" max="24" width="19.140625" bestFit="1" customWidth="1"/>
    <col min="25" max="25" width="2.42578125" customWidth="1"/>
    <col min="26" max="26" width="16.28515625" bestFit="1" customWidth="1"/>
    <col min="27" max="27" width="2.7109375" customWidth="1"/>
    <col min="28" max="28" width="16.28515625" customWidth="1"/>
    <col min="29" max="29" width="2.42578125" customWidth="1"/>
    <col min="30" max="30" width="22.7109375" bestFit="1" customWidth="1"/>
    <col min="31" max="31" width="2.42578125" customWidth="1"/>
    <col min="32" max="32" width="20.140625" bestFit="1" customWidth="1"/>
    <col min="33" max="33" width="2.42578125" customWidth="1"/>
    <col min="34" max="34" width="23" bestFit="1" customWidth="1"/>
    <col min="35" max="35" width="2.42578125" customWidth="1"/>
    <col min="36" max="36" width="30.42578125" bestFit="1" customWidth="1"/>
    <col min="37" max="37" width="2.42578125" customWidth="1"/>
    <col min="38" max="38" width="21.140625" bestFit="1" customWidth="1"/>
    <col min="39" max="39" width="2.42578125" customWidth="1"/>
    <col min="40" max="40" width="15.85546875" bestFit="1" customWidth="1"/>
    <col min="41" max="41" width="2.42578125" customWidth="1"/>
    <col min="42" max="42" width="19.5703125" bestFit="1" customWidth="1"/>
    <col min="43" max="43" width="2.42578125" customWidth="1"/>
    <col min="44" max="44" width="18.7109375" bestFit="1" customWidth="1"/>
    <col min="45" max="45" width="2.42578125" customWidth="1"/>
    <col min="46" max="46" width="20" bestFit="1" customWidth="1"/>
  </cols>
  <sheetData>
    <row r="4" spans="2:46">
      <c r="G4" s="318">
        <f t="shared" ref="G4:R4" si="0">(G8-G7)/G7</f>
        <v>0.47058823529411764</v>
      </c>
      <c r="H4" s="318">
        <f t="shared" si="0"/>
        <v>-0.71317007306058788</v>
      </c>
      <c r="I4" s="318">
        <f t="shared" si="0"/>
        <v>4.9755422424154858E-2</v>
      </c>
      <c r="J4" s="318">
        <f t="shared" si="0"/>
        <v>0.20961813121499984</v>
      </c>
      <c r="K4" s="318">
        <f t="shared" si="0"/>
        <v>0.20045862666296957</v>
      </c>
      <c r="L4" s="318">
        <f t="shared" si="0"/>
        <v>0.33196295785537377</v>
      </c>
      <c r="M4" s="318">
        <f t="shared" si="0"/>
        <v>0.19369369369369369</v>
      </c>
      <c r="N4" s="318">
        <f t="shared" si="0"/>
        <v>0.6</v>
      </c>
      <c r="O4" s="318">
        <f t="shared" si="0"/>
        <v>0.6</v>
      </c>
      <c r="P4" s="318">
        <f t="shared" si="0"/>
        <v>0.59090909090909083</v>
      </c>
      <c r="Q4" s="318">
        <f t="shared" si="0"/>
        <v>0.44043092754731883</v>
      </c>
      <c r="R4" s="318">
        <f t="shared" si="0"/>
        <v>0.20689655172413796</v>
      </c>
    </row>
    <row r="5" spans="2:46">
      <c r="D5" t="s">
        <v>75</v>
      </c>
      <c r="G5" s="323" t="s">
        <v>162</v>
      </c>
      <c r="H5" s="93" t="s">
        <v>164</v>
      </c>
      <c r="I5" s="93" t="s">
        <v>166</v>
      </c>
      <c r="J5" s="93" t="s">
        <v>160</v>
      </c>
      <c r="K5" s="93" t="s">
        <v>161</v>
      </c>
      <c r="L5" s="93" t="s">
        <v>461</v>
      </c>
      <c r="M5" s="93" t="s">
        <v>553</v>
      </c>
      <c r="N5" s="93" t="s">
        <v>85</v>
      </c>
      <c r="O5" s="93" t="s">
        <v>87</v>
      </c>
      <c r="P5" t="s">
        <v>86</v>
      </c>
      <c r="Q5" s="92" t="s">
        <v>56</v>
      </c>
      <c r="R5" s="92" t="s">
        <v>77</v>
      </c>
      <c r="T5" t="s">
        <v>53</v>
      </c>
      <c r="V5" t="s">
        <v>112</v>
      </c>
      <c r="X5" t="s">
        <v>277</v>
      </c>
      <c r="Z5" t="s">
        <v>113</v>
      </c>
      <c r="AB5" t="s">
        <v>440</v>
      </c>
      <c r="AD5" t="s">
        <v>93</v>
      </c>
      <c r="AF5" t="s">
        <v>104</v>
      </c>
      <c r="AH5" t="s">
        <v>105</v>
      </c>
      <c r="AJ5" t="s">
        <v>106</v>
      </c>
      <c r="AL5" t="s">
        <v>107</v>
      </c>
      <c r="AN5" t="s">
        <v>108</v>
      </c>
      <c r="AP5" t="s">
        <v>109</v>
      </c>
      <c r="AR5" t="s">
        <v>110</v>
      </c>
      <c r="AT5" t="s">
        <v>111</v>
      </c>
    </row>
    <row r="6" spans="2:46">
      <c r="B6" t="s">
        <v>76</v>
      </c>
      <c r="D6" t="s">
        <v>461</v>
      </c>
      <c r="F6" t="s">
        <v>80</v>
      </c>
      <c r="G6" s="192" t="s">
        <v>163</v>
      </c>
      <c r="H6" s="192" t="s">
        <v>165</v>
      </c>
      <c r="I6" s="192" t="s">
        <v>185</v>
      </c>
      <c r="J6" s="192" t="s">
        <v>185</v>
      </c>
      <c r="K6" s="192" t="s">
        <v>185</v>
      </c>
      <c r="L6" s="309" t="s">
        <v>185</v>
      </c>
      <c r="M6" s="309" t="s">
        <v>185</v>
      </c>
      <c r="N6" s="192" t="s">
        <v>91</v>
      </c>
      <c r="O6" s="192" t="s">
        <v>91</v>
      </c>
      <c r="P6" s="192" t="s">
        <v>91</v>
      </c>
      <c r="Q6" s="192" t="s">
        <v>91</v>
      </c>
      <c r="R6" s="192" t="s">
        <v>91</v>
      </c>
      <c r="T6" t="s">
        <v>112</v>
      </c>
      <c r="V6" t="s">
        <v>114</v>
      </c>
      <c r="X6" t="s">
        <v>361</v>
      </c>
      <c r="Z6" t="s">
        <v>278</v>
      </c>
      <c r="AB6" t="s">
        <v>441</v>
      </c>
      <c r="AD6" t="s">
        <v>8</v>
      </c>
      <c r="AF6" t="s">
        <v>95</v>
      </c>
      <c r="AH6" t="s">
        <v>9</v>
      </c>
      <c r="AJ6" t="s">
        <v>96</v>
      </c>
      <c r="AL6" t="s">
        <v>97</v>
      </c>
      <c r="AN6" t="s">
        <v>98</v>
      </c>
      <c r="AP6" t="s">
        <v>10</v>
      </c>
      <c r="AR6" t="s">
        <v>99</v>
      </c>
    </row>
    <row r="7" spans="2:46">
      <c r="B7" t="s">
        <v>81</v>
      </c>
      <c r="D7" t="s">
        <v>85</v>
      </c>
      <c r="F7" t="s">
        <v>88</v>
      </c>
      <c r="G7" s="191">
        <v>17000</v>
      </c>
      <c r="H7" s="191">
        <v>287.6268905420971</v>
      </c>
      <c r="I7" s="191">
        <v>16.194248333333334</v>
      </c>
      <c r="J7" s="191">
        <v>247.18544827008316</v>
      </c>
      <c r="K7" s="191">
        <v>199.92359142534642</v>
      </c>
      <c r="L7" s="95">
        <v>82.584879220000005</v>
      </c>
      <c r="M7" s="95">
        <v>222</v>
      </c>
      <c r="N7" s="95">
        <v>1.25</v>
      </c>
      <c r="O7" s="95">
        <v>0.75</v>
      </c>
      <c r="P7" s="95">
        <v>2.2000000000000002</v>
      </c>
      <c r="Q7" s="94">
        <v>27.769467619047621</v>
      </c>
      <c r="R7" s="94">
        <v>5.8</v>
      </c>
      <c r="T7" t="s">
        <v>277</v>
      </c>
      <c r="X7" t="s">
        <v>282</v>
      </c>
      <c r="Z7" t="s">
        <v>279</v>
      </c>
      <c r="AB7" t="s">
        <v>91</v>
      </c>
      <c r="AD7" t="s">
        <v>284</v>
      </c>
      <c r="AF7" t="s">
        <v>300</v>
      </c>
      <c r="AH7" t="s">
        <v>309</v>
      </c>
      <c r="AJ7" t="s">
        <v>326</v>
      </c>
      <c r="AL7" t="s">
        <v>338</v>
      </c>
      <c r="AN7" t="s">
        <v>348</v>
      </c>
      <c r="AP7" t="s">
        <v>355</v>
      </c>
      <c r="AR7" t="s">
        <v>358</v>
      </c>
      <c r="AT7" t="s">
        <v>101</v>
      </c>
    </row>
    <row r="8" spans="2:46">
      <c r="B8" t="s">
        <v>74</v>
      </c>
      <c r="D8" t="s">
        <v>162</v>
      </c>
      <c r="F8" t="s">
        <v>90</v>
      </c>
      <c r="G8" s="192">
        <v>25000</v>
      </c>
      <c r="H8" s="192">
        <f>(85+80)/2</f>
        <v>82.5</v>
      </c>
      <c r="I8" s="192">
        <v>17</v>
      </c>
      <c r="J8" s="192">
        <v>299</v>
      </c>
      <c r="K8" s="192">
        <v>240</v>
      </c>
      <c r="L8" s="309">
        <v>110</v>
      </c>
      <c r="M8" s="412">
        <v>265</v>
      </c>
      <c r="N8" s="192">
        <v>2</v>
      </c>
      <c r="O8" s="192">
        <v>1.2</v>
      </c>
      <c r="P8" s="192">
        <v>3.5</v>
      </c>
      <c r="Q8" s="192">
        <v>40</v>
      </c>
      <c r="R8" s="192">
        <v>7</v>
      </c>
      <c r="T8" t="s">
        <v>113</v>
      </c>
      <c r="X8" t="s">
        <v>283</v>
      </c>
      <c r="Z8" t="s">
        <v>280</v>
      </c>
      <c r="AD8" t="s">
        <v>285</v>
      </c>
      <c r="AF8" t="s">
        <v>301</v>
      </c>
      <c r="AH8" t="s">
        <v>310</v>
      </c>
      <c r="AJ8" t="s">
        <v>327</v>
      </c>
      <c r="AL8" t="s">
        <v>339</v>
      </c>
      <c r="AN8" t="s">
        <v>349</v>
      </c>
      <c r="AP8" t="s">
        <v>356</v>
      </c>
      <c r="AR8" t="s">
        <v>359</v>
      </c>
      <c r="AT8" t="s">
        <v>102</v>
      </c>
    </row>
    <row r="9" spans="2:46">
      <c r="D9" t="s">
        <v>652</v>
      </c>
      <c r="F9" t="s">
        <v>89</v>
      </c>
      <c r="G9" s="190">
        <f>42*1000</f>
        <v>42000</v>
      </c>
      <c r="H9" s="191"/>
      <c r="I9" s="189"/>
      <c r="J9" s="189">
        <v>350</v>
      </c>
      <c r="K9" s="189">
        <v>350</v>
      </c>
      <c r="L9" s="95">
        <v>145</v>
      </c>
      <c r="M9" s="95"/>
      <c r="N9" s="95"/>
      <c r="O9" s="95"/>
      <c r="P9" s="95"/>
      <c r="Q9" s="94">
        <v>80</v>
      </c>
      <c r="R9" s="94"/>
      <c r="T9" t="s">
        <v>440</v>
      </c>
      <c r="Z9" t="s">
        <v>281</v>
      </c>
      <c r="AD9" t="s">
        <v>286</v>
      </c>
      <c r="AF9" t="s">
        <v>302</v>
      </c>
      <c r="AH9" t="s">
        <v>311</v>
      </c>
      <c r="AJ9" t="s">
        <v>328</v>
      </c>
      <c r="AL9" t="s">
        <v>340</v>
      </c>
      <c r="AN9" t="s">
        <v>350</v>
      </c>
      <c r="AP9" t="s">
        <v>357</v>
      </c>
      <c r="AR9" t="s">
        <v>360</v>
      </c>
      <c r="AT9" t="s">
        <v>103</v>
      </c>
    </row>
    <row r="10" spans="2:46">
      <c r="D10" t="s">
        <v>166</v>
      </c>
      <c r="T10" t="s">
        <v>93</v>
      </c>
      <c r="Z10" t="s">
        <v>276</v>
      </c>
      <c r="AD10" t="s">
        <v>287</v>
      </c>
      <c r="AF10" t="s">
        <v>303</v>
      </c>
      <c r="AH10" t="s">
        <v>312</v>
      </c>
      <c r="AJ10" t="s">
        <v>329</v>
      </c>
      <c r="AL10" t="s">
        <v>341</v>
      </c>
      <c r="AN10" t="s">
        <v>351</v>
      </c>
      <c r="AT10" t="s">
        <v>426</v>
      </c>
    </row>
    <row r="11" spans="2:46">
      <c r="D11" t="s">
        <v>87</v>
      </c>
      <c r="T11" t="s">
        <v>104</v>
      </c>
      <c r="Z11" t="s">
        <v>442</v>
      </c>
      <c r="AD11" t="s">
        <v>288</v>
      </c>
      <c r="AF11" t="s">
        <v>304</v>
      </c>
      <c r="AH11" t="s">
        <v>313</v>
      </c>
      <c r="AJ11" t="s">
        <v>330</v>
      </c>
      <c r="AL11" t="s">
        <v>342</v>
      </c>
      <c r="AN11" t="s">
        <v>352</v>
      </c>
    </row>
    <row r="12" spans="2:46">
      <c r="D12" t="s">
        <v>161</v>
      </c>
      <c r="T12" t="s">
        <v>105</v>
      </c>
      <c r="AD12" t="s">
        <v>289</v>
      </c>
      <c r="AF12" t="s">
        <v>305</v>
      </c>
      <c r="AH12" t="s">
        <v>314</v>
      </c>
      <c r="AJ12" t="s">
        <v>331</v>
      </c>
      <c r="AL12" t="s">
        <v>343</v>
      </c>
      <c r="AN12" t="s">
        <v>353</v>
      </c>
    </row>
    <row r="13" spans="2:46">
      <c r="D13" t="s">
        <v>164</v>
      </c>
      <c r="T13" t="s">
        <v>106</v>
      </c>
      <c r="AD13" t="s">
        <v>290</v>
      </c>
      <c r="AF13" t="s">
        <v>306</v>
      </c>
      <c r="AH13" t="s">
        <v>315</v>
      </c>
      <c r="AJ13" t="s">
        <v>332</v>
      </c>
      <c r="AL13" t="s">
        <v>344</v>
      </c>
      <c r="AN13" t="s">
        <v>354</v>
      </c>
    </row>
    <row r="14" spans="2:46">
      <c r="D14" t="s">
        <v>56</v>
      </c>
      <c r="T14" t="s">
        <v>107</v>
      </c>
      <c r="AD14" t="s">
        <v>291</v>
      </c>
      <c r="AF14" t="s">
        <v>307</v>
      </c>
      <c r="AH14" t="s">
        <v>316</v>
      </c>
      <c r="AJ14" t="s">
        <v>333</v>
      </c>
      <c r="AL14" t="s">
        <v>345</v>
      </c>
    </row>
    <row r="15" spans="2:46">
      <c r="D15" t="s">
        <v>77</v>
      </c>
      <c r="T15" t="s">
        <v>108</v>
      </c>
      <c r="V15" s="98"/>
      <c r="W15" s="98"/>
      <c r="AD15" t="s">
        <v>292</v>
      </c>
      <c r="AF15" t="s">
        <v>308</v>
      </c>
      <c r="AH15" t="s">
        <v>317</v>
      </c>
      <c r="AJ15" t="s">
        <v>334</v>
      </c>
      <c r="AL15" t="s">
        <v>346</v>
      </c>
    </row>
    <row r="16" spans="2:46">
      <c r="D16" t="s">
        <v>553</v>
      </c>
      <c r="T16" t="s">
        <v>109</v>
      </c>
      <c r="V16" s="98"/>
      <c r="W16" s="98"/>
      <c r="AD16" t="s">
        <v>293</v>
      </c>
      <c r="AH16" t="s">
        <v>318</v>
      </c>
      <c r="AJ16" t="s">
        <v>335</v>
      </c>
      <c r="AL16" t="s">
        <v>347</v>
      </c>
    </row>
    <row r="17" spans="4:36">
      <c r="D17" t="s">
        <v>86</v>
      </c>
      <c r="T17" t="s">
        <v>110</v>
      </c>
      <c r="V17" s="98"/>
      <c r="W17" s="98"/>
      <c r="AD17" t="s">
        <v>294</v>
      </c>
      <c r="AH17" t="s">
        <v>319</v>
      </c>
      <c r="AJ17" t="s">
        <v>336</v>
      </c>
    </row>
    <row r="18" spans="4:36">
      <c r="T18" t="s">
        <v>111</v>
      </c>
      <c r="V18" s="98"/>
      <c r="W18" s="98"/>
      <c r="AD18" t="s">
        <v>295</v>
      </c>
      <c r="AH18" t="s">
        <v>320</v>
      </c>
      <c r="AJ18" t="s">
        <v>337</v>
      </c>
    </row>
    <row r="19" spans="4:36">
      <c r="V19" s="98"/>
      <c r="W19" s="98"/>
      <c r="AD19" t="s">
        <v>296</v>
      </c>
      <c r="AH19" t="s">
        <v>321</v>
      </c>
    </row>
    <row r="20" spans="4:36">
      <c r="V20" s="98"/>
      <c r="W20" s="98"/>
      <c r="AD20" t="s">
        <v>297</v>
      </c>
      <c r="AH20" t="s">
        <v>322</v>
      </c>
    </row>
    <row r="21" spans="4:36">
      <c r="V21" s="98"/>
      <c r="W21" s="98"/>
      <c r="AD21" t="s">
        <v>298</v>
      </c>
      <c r="AH21" t="s">
        <v>323</v>
      </c>
    </row>
    <row r="22" spans="4:36">
      <c r="V22" s="98"/>
      <c r="W22" s="98"/>
      <c r="AD22" t="s">
        <v>299</v>
      </c>
      <c r="AH22" t="s">
        <v>324</v>
      </c>
    </row>
    <row r="23" spans="4:36">
      <c r="AH23" t="s">
        <v>325</v>
      </c>
    </row>
  </sheetData>
  <pageMargins left="0.7" right="0.7" top="0.75" bottom="0.75" header="0.3" footer="0.3"/>
  <pageSetup paperSize="9" orientation="portrait" horizontalDpi="0" verticalDpi="0" r:id="rId1"/>
  <legacy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CA4DE-1120-4E95-9A62-C02E933D81A7}">
  <dimension ref="C2:L2"/>
  <sheetViews>
    <sheetView workbookViewId="0"/>
  </sheetViews>
  <sheetFormatPr baseColWidth="10" defaultRowHeight="15"/>
  <cols>
    <col min="1" max="1" width="22.5703125" customWidth="1"/>
    <col min="2" max="2" width="5.140625" customWidth="1"/>
  </cols>
  <sheetData>
    <row r="2" spans="3:12" ht="28.5" customHeight="1">
      <c r="C2" s="714" t="s">
        <v>655</v>
      </c>
      <c r="D2" s="677"/>
      <c r="E2" s="677"/>
      <c r="F2" s="677"/>
      <c r="G2" s="677"/>
      <c r="H2" s="677"/>
      <c r="I2" s="715" t="s">
        <v>656</v>
      </c>
      <c r="J2" s="716">
        <f>TD!I5</f>
        <v>45290</v>
      </c>
      <c r="K2" s="716"/>
      <c r="L2" s="717" t="str">
        <f>"S-"&amp;INT((J2-DATE(YEAR(J2-WEEKDAY(J2-1)+4),1,3)+WEEKDAY(DATE(YEAR(J2-WEEKDAY(J2-1)+4),1,3))+5)/7)&amp;"/23"</f>
        <v>S-52/23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3009-26FB-426F-8063-E9BF1EF9C2C4}">
  <sheetPr>
    <tabColor theme="6" tint="-0.499984740745262"/>
  </sheetPr>
  <dimension ref="A1:AJ164"/>
  <sheetViews>
    <sheetView workbookViewId="0"/>
  </sheetViews>
  <sheetFormatPr baseColWidth="10" defaultColWidth="14.28515625" defaultRowHeight="14.25" outlineLevelRow="1" outlineLevelCol="1"/>
  <cols>
    <col min="1" max="1" width="7.140625" style="273" bestFit="1" customWidth="1"/>
    <col min="2" max="2" width="19" style="276" hidden="1" customWidth="1"/>
    <col min="3" max="3" width="14.140625" style="276" hidden="1" customWidth="1"/>
    <col min="4" max="4" width="11.5703125" style="276" hidden="1" customWidth="1"/>
    <col min="5" max="5" width="13.42578125" style="276" hidden="1" customWidth="1"/>
    <col min="6" max="6" width="15.42578125" style="276" hidden="1" customWidth="1"/>
    <col min="7" max="7" width="17.5703125" style="276" hidden="1" customWidth="1"/>
    <col min="8" max="8" width="17" style="273" hidden="1" customWidth="1"/>
    <col min="9" max="9" width="9.5703125" style="273" hidden="1" customWidth="1"/>
    <col min="10" max="10" width="7" style="273" customWidth="1"/>
    <col min="11" max="11" width="24.42578125" style="284" customWidth="1"/>
    <col min="12" max="12" width="9" style="273" customWidth="1"/>
    <col min="13" max="13" width="12.5703125" style="273" customWidth="1"/>
    <col min="14" max="14" width="13" style="273" hidden="1" customWidth="1" outlineLevel="1"/>
    <col min="15" max="15" width="13.42578125" style="273" hidden="1" customWidth="1" outlineLevel="1"/>
    <col min="16" max="16" width="17" style="273" hidden="1" customWidth="1" outlineLevel="1"/>
    <col min="17" max="17" width="17" style="273" customWidth="1" collapsed="1"/>
    <col min="18" max="18" width="17" style="273" customWidth="1"/>
    <col min="19" max="19" width="17" style="273" customWidth="1" collapsed="1"/>
    <col min="20" max="21" width="17" style="273" customWidth="1"/>
    <col min="22" max="22" width="14.28515625" style="273" customWidth="1"/>
    <col min="23" max="23" width="12" style="276" customWidth="1"/>
    <col min="24" max="36" width="14.28515625" style="276"/>
    <col min="37" max="16384" width="14.28515625" style="273"/>
  </cols>
  <sheetData>
    <row r="1" spans="2:36" s="203" customFormat="1" ht="18" customHeight="1">
      <c r="K1" s="204"/>
      <c r="M1" s="203" t="s">
        <v>230</v>
      </c>
      <c r="N1" s="205">
        <v>18</v>
      </c>
      <c r="R1" s="206"/>
      <c r="T1" s="206"/>
      <c r="U1" s="206"/>
      <c r="V1" s="206"/>
      <c r="W1" s="206"/>
      <c r="X1" s="206"/>
      <c r="Y1" s="206"/>
      <c r="Z1" s="206"/>
      <c r="AA1" s="206"/>
      <c r="AB1" s="206"/>
      <c r="AC1" s="206"/>
      <c r="AD1" s="206"/>
      <c r="AE1" s="206"/>
      <c r="AF1" s="206"/>
      <c r="AG1" s="206"/>
      <c r="AH1" s="206"/>
      <c r="AI1" s="206"/>
      <c r="AJ1" s="206"/>
    </row>
    <row r="2" spans="2:36" s="203" customFormat="1" ht="18" customHeight="1">
      <c r="K2" s="204"/>
      <c r="M2" s="207" t="s">
        <v>231</v>
      </c>
      <c r="N2" s="207" t="s">
        <v>232</v>
      </c>
      <c r="O2" s="207" t="s">
        <v>233</v>
      </c>
      <c r="Q2" s="208"/>
      <c r="R2" s="207" t="s">
        <v>231</v>
      </c>
      <c r="S2" s="208"/>
      <c r="T2" s="207"/>
      <c r="U2" s="207"/>
      <c r="V2" s="207"/>
      <c r="W2" s="207"/>
      <c r="X2" s="207"/>
      <c r="Y2" s="207"/>
      <c r="Z2" s="207"/>
      <c r="AA2" s="207"/>
      <c r="AB2" s="207"/>
      <c r="AC2" s="207"/>
      <c r="AD2" s="207"/>
      <c r="AE2" s="207"/>
      <c r="AF2" s="207"/>
      <c r="AG2" s="207"/>
      <c r="AH2" s="207"/>
      <c r="AI2" s="207"/>
      <c r="AJ2" s="207"/>
    </row>
    <row r="3" spans="2:36" s="213" customFormat="1" ht="18" customHeight="1">
      <c r="B3" s="203"/>
      <c r="C3" s="203"/>
      <c r="D3" s="203"/>
      <c r="E3" s="203"/>
      <c r="F3" s="203"/>
      <c r="G3" s="203"/>
      <c r="H3" s="209" t="s">
        <v>234</v>
      </c>
      <c r="I3" s="209" t="s">
        <v>234</v>
      </c>
      <c r="J3" s="209" t="s">
        <v>234</v>
      </c>
      <c r="K3" s="209" t="s">
        <v>234</v>
      </c>
      <c r="L3" s="209" t="s">
        <v>234</v>
      </c>
      <c r="M3" s="209" t="s">
        <v>234</v>
      </c>
      <c r="N3" s="209" t="s">
        <v>234</v>
      </c>
      <c r="O3" s="209" t="s">
        <v>234</v>
      </c>
      <c r="P3" s="209" t="s">
        <v>234</v>
      </c>
      <c r="Q3" s="210" t="s">
        <v>235</v>
      </c>
      <c r="R3" s="210" t="s">
        <v>236</v>
      </c>
      <c r="S3" s="211"/>
      <c r="T3" s="203"/>
      <c r="U3" s="203"/>
      <c r="V3" s="203"/>
      <c r="W3" s="203"/>
      <c r="X3" s="203"/>
      <c r="Y3" s="212"/>
      <c r="Z3" s="212"/>
      <c r="AA3" s="212"/>
      <c r="AB3" s="212"/>
      <c r="AC3" s="212"/>
      <c r="AD3" s="212"/>
      <c r="AE3" s="212"/>
      <c r="AF3" s="212"/>
      <c r="AG3" s="212"/>
      <c r="AH3" s="203"/>
      <c r="AI3" s="203"/>
      <c r="AJ3" s="203"/>
    </row>
    <row r="4" spans="2:36" s="213" customFormat="1" ht="18" customHeight="1">
      <c r="B4" s="203"/>
      <c r="C4" s="203"/>
      <c r="D4" s="203"/>
      <c r="E4" s="203"/>
      <c r="F4" s="203"/>
      <c r="G4" s="203"/>
      <c r="H4" s="203"/>
      <c r="I4" s="203"/>
      <c r="J4" s="214" t="s">
        <v>0</v>
      </c>
      <c r="K4" s="215" t="s">
        <v>237</v>
      </c>
      <c r="L4" s="214" t="s">
        <v>238</v>
      </c>
      <c r="M4" s="216"/>
      <c r="N4" s="659"/>
      <c r="O4" s="216"/>
      <c r="P4" s="216"/>
      <c r="Q4" s="214"/>
      <c r="R4" s="660"/>
      <c r="S4" s="214" t="s">
        <v>238</v>
      </c>
      <c r="T4" s="217"/>
      <c r="U4" s="217" t="s">
        <v>239</v>
      </c>
      <c r="V4" s="217"/>
      <c r="W4" s="212"/>
      <c r="X4" s="218"/>
      <c r="Y4" s="212"/>
      <c r="Z4" s="212"/>
      <c r="AA4" s="212"/>
      <c r="AB4" s="212"/>
      <c r="AC4" s="212"/>
      <c r="AD4" s="212"/>
      <c r="AE4" s="212"/>
      <c r="AF4" s="212"/>
      <c r="AG4" s="212"/>
      <c r="AH4" s="203"/>
      <c r="AI4" s="203"/>
      <c r="AJ4" s="217"/>
    </row>
    <row r="5" spans="2:36" s="213" customFormat="1" ht="18" customHeight="1">
      <c r="C5" s="203" t="s">
        <v>567</v>
      </c>
      <c r="D5" s="203"/>
      <c r="E5" s="203" t="s">
        <v>567</v>
      </c>
      <c r="F5" s="203" t="s">
        <v>568</v>
      </c>
      <c r="G5" s="203" t="s">
        <v>240</v>
      </c>
      <c r="H5" s="203">
        <f>1/500</f>
        <v>2E-3</v>
      </c>
      <c r="I5" s="219" t="s">
        <v>250</v>
      </c>
      <c r="J5" s="661" t="s">
        <v>639</v>
      </c>
      <c r="K5" s="662" t="s">
        <v>637</v>
      </c>
      <c r="L5" s="663">
        <v>200</v>
      </c>
      <c r="M5" s="664" t="s">
        <v>242</v>
      </c>
      <c r="N5" s="665"/>
      <c r="O5" s="455"/>
      <c r="P5" s="456">
        <f>SUM(O6:O17)</f>
        <v>46887.276493203288</v>
      </c>
      <c r="Q5" s="457">
        <v>1400</v>
      </c>
      <c r="R5" s="223" t="s">
        <v>242</v>
      </c>
      <c r="S5" s="254"/>
      <c r="T5" s="225"/>
      <c r="U5" s="226">
        <f>(P5/L5)</f>
        <v>234.43638246601643</v>
      </c>
      <c r="V5" s="227">
        <v>1</v>
      </c>
      <c r="W5" s="228"/>
      <c r="X5" s="228"/>
      <c r="Y5" s="228"/>
      <c r="Z5" s="228"/>
      <c r="AA5" s="228"/>
      <c r="AB5" s="228"/>
      <c r="AC5" s="228"/>
      <c r="AD5" s="228"/>
      <c r="AE5" s="228"/>
      <c r="AF5" s="228"/>
      <c r="AG5" s="228"/>
      <c r="AH5" s="228"/>
      <c r="AI5" s="228"/>
      <c r="AJ5" s="228"/>
    </row>
    <row r="6" spans="2:36" s="213" customFormat="1" ht="18" customHeight="1" outlineLevel="1">
      <c r="C6" s="420">
        <f t="shared" ref="C6:C13" si="0">(D6/D$14)</f>
        <v>4.299484144110817E-2</v>
      </c>
      <c r="D6" s="203">
        <f>(M6*1.046)</f>
        <v>8.3680000000000003</v>
      </c>
      <c r="E6" s="420">
        <f t="shared" ref="E6:E12" si="1">(F6/F$13)</f>
        <v>4.310557982362153E-2</v>
      </c>
      <c r="F6" s="203">
        <f>(M6*1.046)</f>
        <v>8.3680000000000003</v>
      </c>
      <c r="G6" s="229">
        <f>H6*H5</f>
        <v>80</v>
      </c>
      <c r="H6" s="229">
        <f>(M6/L5)*1000000</f>
        <v>40000</v>
      </c>
      <c r="I6" s="250">
        <f>(M6/L5)</f>
        <v>0.04</v>
      </c>
      <c r="J6" s="415" t="s">
        <v>243</v>
      </c>
      <c r="K6" s="672" t="s">
        <v>224</v>
      </c>
      <c r="L6" s="232"/>
      <c r="M6" s="255">
        <f>(L5*0.04)</f>
        <v>8</v>
      </c>
      <c r="N6" s="234">
        <v>453.71845124282981</v>
      </c>
      <c r="O6" s="234">
        <f t="shared" ref="O6:O17" si="2">(M6*N6)</f>
        <v>3629.7476099426385</v>
      </c>
      <c r="P6" s="235">
        <f>18.5*L5</f>
        <v>3700</v>
      </c>
      <c r="Q6" s="232"/>
      <c r="R6" s="255">
        <f>(Q5*0.04)</f>
        <v>56</v>
      </c>
      <c r="S6" s="232"/>
      <c r="T6" s="255">
        <f>(S5*0.04)</f>
        <v>0</v>
      </c>
      <c r="U6" s="238"/>
      <c r="V6" s="249">
        <f>((M6*V5)/L5)*1000</f>
        <v>40</v>
      </c>
      <c r="W6" s="238"/>
      <c r="X6" s="238"/>
      <c r="Y6" s="238"/>
      <c r="Z6" s="238"/>
      <c r="AA6" s="238"/>
      <c r="AB6" s="238"/>
      <c r="AC6" s="238"/>
      <c r="AD6" s="238"/>
      <c r="AE6" s="238"/>
      <c r="AF6" s="238"/>
      <c r="AG6" s="238"/>
      <c r="AH6" s="238"/>
      <c r="AI6" s="238"/>
      <c r="AJ6" s="238"/>
    </row>
    <row r="7" spans="2:36" s="213" customFormat="1" ht="18" customHeight="1" outlineLevel="1">
      <c r="C7" s="420">
        <f t="shared" si="0"/>
        <v>4.2958875393057531E-2</v>
      </c>
      <c r="D7" s="203">
        <f>(M7*0.929)</f>
        <v>8.3610000000000007</v>
      </c>
      <c r="E7" s="420">
        <f t="shared" si="1"/>
        <v>4.3069521140690688E-2</v>
      </c>
      <c r="F7" s="203">
        <f>(M7*0.929)</f>
        <v>8.3610000000000007</v>
      </c>
      <c r="G7" s="229">
        <f>H7*H5</f>
        <v>90</v>
      </c>
      <c r="H7" s="229">
        <f>(M7/L5)*1000000</f>
        <v>45000</v>
      </c>
      <c r="I7" s="250">
        <f>(M7/L5)</f>
        <v>4.4999999999999998E-2</v>
      </c>
      <c r="J7" s="415" t="s">
        <v>244</v>
      </c>
      <c r="K7" s="672" t="s">
        <v>220</v>
      </c>
      <c r="L7" s="232"/>
      <c r="M7" s="255">
        <f>(L5*0.045)</f>
        <v>9</v>
      </c>
      <c r="N7" s="234">
        <v>513.71367061356273</v>
      </c>
      <c r="O7" s="234">
        <f t="shared" si="2"/>
        <v>4623.4230355220643</v>
      </c>
      <c r="P7" s="270">
        <f>SUM(P5:P6)</f>
        <v>50587.276493203288</v>
      </c>
      <c r="Q7" s="232"/>
      <c r="R7" s="255">
        <f>(Q5*0.045)</f>
        <v>63</v>
      </c>
      <c r="S7" s="232"/>
      <c r="T7" s="255">
        <f>(S5*0.045)</f>
        <v>0</v>
      </c>
      <c r="U7" s="1002">
        <f>(P10/1000)</f>
        <v>0.3</v>
      </c>
      <c r="V7" s="249">
        <f>((M7*V5)/L5)*1000</f>
        <v>45</v>
      </c>
      <c r="W7" s="241"/>
      <c r="X7" s="241"/>
      <c r="Y7" s="241"/>
      <c r="Z7" s="241"/>
      <c r="AA7" s="241"/>
      <c r="AB7" s="241"/>
      <c r="AC7" s="241"/>
      <c r="AD7" s="241"/>
      <c r="AE7" s="241"/>
      <c r="AF7" s="241"/>
      <c r="AG7" s="241"/>
      <c r="AH7" s="241"/>
      <c r="AI7" s="241"/>
      <c r="AJ7" s="241"/>
    </row>
    <row r="8" spans="2:36" s="213" customFormat="1" ht="18" customHeight="1" outlineLevel="1">
      <c r="C8" s="420">
        <f t="shared" si="0"/>
        <v>4.3328811887292686E-2</v>
      </c>
      <c r="D8" s="203">
        <f>(M8*0.937)</f>
        <v>8.4329999999999998</v>
      </c>
      <c r="E8" s="420">
        <f t="shared" si="1"/>
        <v>4.3440410450836561E-2</v>
      </c>
      <c r="F8" s="203">
        <f>(M8*0.937)</f>
        <v>8.4329999999999998</v>
      </c>
      <c r="G8" s="229">
        <f>H8*H5</f>
        <v>90</v>
      </c>
      <c r="H8" s="229">
        <f>(M8/L5)*1000000</f>
        <v>45000</v>
      </c>
      <c r="I8" s="250">
        <f>(M8/L5)</f>
        <v>4.4999999999999998E-2</v>
      </c>
      <c r="J8" s="415" t="s">
        <v>245</v>
      </c>
      <c r="K8" s="672" t="s">
        <v>223</v>
      </c>
      <c r="L8" s="232"/>
      <c r="M8" s="255">
        <f>(L5*0.045)</f>
        <v>9</v>
      </c>
      <c r="N8" s="234">
        <v>437.5400213447171</v>
      </c>
      <c r="O8" s="234">
        <f t="shared" si="2"/>
        <v>3937.8601921024538</v>
      </c>
      <c r="P8" s="243">
        <f>SUM(P7)/L5</f>
        <v>252.93638246601643</v>
      </c>
      <c r="Q8" s="232"/>
      <c r="R8" s="255">
        <f>(Q5*0.045)</f>
        <v>63</v>
      </c>
      <c r="S8" s="232"/>
      <c r="T8" s="255">
        <f>(S5*0.045)</f>
        <v>0</v>
      </c>
      <c r="U8" s="1003">
        <v>2</v>
      </c>
      <c r="V8" s="249">
        <f>((M8*V5)/L5)*1000</f>
        <v>45</v>
      </c>
      <c r="W8" s="238"/>
      <c r="X8" s="238"/>
      <c r="Y8" s="238"/>
      <c r="Z8" s="238"/>
      <c r="AA8" s="238"/>
      <c r="AB8" s="238"/>
      <c r="AC8" s="238"/>
      <c r="AD8" s="238"/>
      <c r="AE8" s="238"/>
      <c r="AF8" s="238"/>
      <c r="AG8" s="238"/>
      <c r="AH8" s="238"/>
      <c r="AI8" s="238"/>
      <c r="AJ8" s="238"/>
    </row>
    <row r="9" spans="2:36" s="213" customFormat="1" ht="18" customHeight="1" outlineLevel="1">
      <c r="C9" s="420">
        <f t="shared" si="0"/>
        <v>4.4577347555336336E-2</v>
      </c>
      <c r="D9" s="203">
        <f>(M9*0.964)</f>
        <v>8.6760000000000002</v>
      </c>
      <c r="E9" s="420">
        <f t="shared" si="1"/>
        <v>4.469216187257892E-2</v>
      </c>
      <c r="F9" s="203">
        <f>(M9*0.964)</f>
        <v>8.6760000000000002</v>
      </c>
      <c r="G9" s="229">
        <f>H9*H5</f>
        <v>90</v>
      </c>
      <c r="H9" s="229">
        <f>(M9/L5)*1000000</f>
        <v>45000</v>
      </c>
      <c r="I9" s="250">
        <f>(M9/L5)</f>
        <v>4.4999999999999998E-2</v>
      </c>
      <c r="J9" s="415" t="s">
        <v>246</v>
      </c>
      <c r="K9" s="672" t="s">
        <v>221</v>
      </c>
      <c r="L9" s="232"/>
      <c r="M9" s="255">
        <f>(L5*0.045)</f>
        <v>9</v>
      </c>
      <c r="N9" s="234">
        <v>640.20919778699874</v>
      </c>
      <c r="O9" s="234">
        <f t="shared" si="2"/>
        <v>5761.8827800829886</v>
      </c>
      <c r="P9" s="244">
        <f>(P10-P8)/P8</f>
        <v>0.18606899124251872</v>
      </c>
      <c r="Q9" s="232"/>
      <c r="R9" s="255">
        <f>(Q5*0.045)</f>
        <v>63</v>
      </c>
      <c r="S9" s="232"/>
      <c r="T9" s="255">
        <f>(S5*0.045)</f>
        <v>0</v>
      </c>
      <c r="U9" s="999">
        <f>(U8*500)/1000</f>
        <v>1</v>
      </c>
      <c r="V9" s="249">
        <f>((M9*V5)/L5)*1000</f>
        <v>45</v>
      </c>
      <c r="W9" s="238"/>
      <c r="X9" s="238"/>
      <c r="Y9" s="238"/>
      <c r="Z9" s="238"/>
      <c r="AA9" s="238"/>
      <c r="AB9" s="238"/>
      <c r="AC9" s="238"/>
      <c r="AD9" s="238"/>
      <c r="AE9" s="238"/>
      <c r="AF9" s="238"/>
      <c r="AG9" s="238"/>
      <c r="AH9" s="238"/>
      <c r="AI9" s="238"/>
      <c r="AJ9" s="238"/>
    </row>
    <row r="10" spans="2:36" s="213" customFormat="1" ht="18" customHeight="1" outlineLevel="1">
      <c r="C10" s="420">
        <f t="shared" si="0"/>
        <v>4.0415561995190828E-2</v>
      </c>
      <c r="D10" s="203">
        <f>(M10*0.874)</f>
        <v>7.8659999999999997</v>
      </c>
      <c r="E10" s="420">
        <f t="shared" si="1"/>
        <v>4.0519657133437734E-2</v>
      </c>
      <c r="F10" s="203">
        <f>(M10*0.874)</f>
        <v>7.8659999999999997</v>
      </c>
      <c r="G10" s="229">
        <f>H10*H5</f>
        <v>90</v>
      </c>
      <c r="H10" s="229">
        <f>(M10/L5)*1000000</f>
        <v>45000</v>
      </c>
      <c r="I10" s="250">
        <f>(M10/L5)</f>
        <v>4.4999999999999998E-2</v>
      </c>
      <c r="J10" s="415" t="s">
        <v>247</v>
      </c>
      <c r="K10" s="672" t="s">
        <v>226</v>
      </c>
      <c r="L10" s="232"/>
      <c r="M10" s="255">
        <f>(L5*0.045)</f>
        <v>9</v>
      </c>
      <c r="N10" s="234">
        <v>1840.6107112890923</v>
      </c>
      <c r="O10" s="234">
        <f t="shared" si="2"/>
        <v>16565.496401601831</v>
      </c>
      <c r="P10" s="1000">
        <v>300</v>
      </c>
      <c r="Q10" s="244">
        <v>0.383747156449605</v>
      </c>
      <c r="R10" s="255">
        <f>(Q5*0.045)</f>
        <v>63</v>
      </c>
      <c r="S10" s="232"/>
      <c r="T10" s="255">
        <f>(S5*0.045)</f>
        <v>0</v>
      </c>
      <c r="U10" s="1001">
        <f>(U9*P10)</f>
        <v>300</v>
      </c>
      <c r="V10" s="249">
        <f>((M10*V5)/L5)*1000</f>
        <v>45</v>
      </c>
      <c r="W10" s="238"/>
      <c r="X10" s="238"/>
      <c r="Y10" s="238"/>
      <c r="Z10" s="238"/>
      <c r="AA10" s="238"/>
      <c r="AB10" s="238"/>
      <c r="AC10" s="238"/>
      <c r="AD10" s="238"/>
      <c r="AE10" s="238"/>
      <c r="AF10" s="238"/>
      <c r="AG10" s="238"/>
      <c r="AH10" s="238"/>
      <c r="AI10" s="238"/>
      <c r="AJ10" s="238"/>
    </row>
    <row r="11" spans="2:36" s="213" customFormat="1" ht="18" customHeight="1" outlineLevel="1">
      <c r="B11" s="424">
        <f>(SUM(D6:D11)/L5)*1000</f>
        <v>310.64000000000004</v>
      </c>
      <c r="C11" s="420">
        <f t="shared" si="0"/>
        <v>0.10493865219803934</v>
      </c>
      <c r="D11" s="203">
        <f>(M11*0.851)</f>
        <v>20.423999999999999</v>
      </c>
      <c r="E11" s="420">
        <f t="shared" si="1"/>
        <v>0.10520893431138219</v>
      </c>
      <c r="F11" s="203">
        <f>(M11*0.851)</f>
        <v>20.423999999999999</v>
      </c>
      <c r="G11" s="229">
        <f>H11*H5</f>
        <v>240</v>
      </c>
      <c r="H11" s="229">
        <f>(M11/L5)*1000000</f>
        <v>120000</v>
      </c>
      <c r="I11" s="250">
        <f>(M11/L5)</f>
        <v>0.12</v>
      </c>
      <c r="J11" s="415" t="s">
        <v>248</v>
      </c>
      <c r="K11" s="672" t="s">
        <v>507</v>
      </c>
      <c r="L11" s="232"/>
      <c r="M11" s="255">
        <f>(L5*0.12)</f>
        <v>24</v>
      </c>
      <c r="N11" s="234">
        <v>83.977075303526561</v>
      </c>
      <c r="O11" s="234">
        <f t="shared" si="2"/>
        <v>2015.4498072846375</v>
      </c>
      <c r="P11" s="1124">
        <v>300</v>
      </c>
      <c r="Q11" s="244">
        <v>0.27422956833488926</v>
      </c>
      <c r="R11" s="255">
        <f>(Q5*0.12)</f>
        <v>168</v>
      </c>
      <c r="S11" s="232"/>
      <c r="T11" s="255">
        <f>(S5*0.12)</f>
        <v>0</v>
      </c>
      <c r="U11" s="203"/>
      <c r="V11" s="249">
        <f>((M11*V5)/L5)*1000</f>
        <v>120</v>
      </c>
      <c r="W11" s="258"/>
      <c r="X11" s="258"/>
      <c r="Y11" s="258"/>
      <c r="Z11" s="258"/>
      <c r="AA11" s="258"/>
      <c r="AB11" s="258"/>
      <c r="AC11" s="258"/>
      <c r="AD11" s="258"/>
      <c r="AE11" s="258"/>
      <c r="AF11" s="258"/>
      <c r="AG11" s="258"/>
      <c r="AH11" s="258"/>
      <c r="AI11" s="258"/>
      <c r="AJ11" s="258"/>
    </row>
    <row r="12" spans="2:36" s="213" customFormat="1" ht="18" customHeight="1" outlineLevel="1">
      <c r="C12" s="423">
        <f t="shared" si="0"/>
        <v>0.25946934665104715</v>
      </c>
      <c r="D12" s="203">
        <f>(M12*1.01)</f>
        <v>50.5</v>
      </c>
      <c r="E12" s="420">
        <f t="shared" si="1"/>
        <v>0.67996373526745246</v>
      </c>
      <c r="F12" s="421">
        <f>(M12+M13)</f>
        <v>132</v>
      </c>
      <c r="G12" s="229">
        <f>H12*H5</f>
        <v>500</v>
      </c>
      <c r="H12" s="229">
        <f>(M12/L5)*1000000</f>
        <v>250000</v>
      </c>
      <c r="I12" s="250">
        <f>(M12/L5)</f>
        <v>0.25</v>
      </c>
      <c r="J12" s="415" t="s">
        <v>251</v>
      </c>
      <c r="K12" s="672" t="s">
        <v>211</v>
      </c>
      <c r="L12" s="232"/>
      <c r="M12" s="255">
        <f>(L5*0.25)</f>
        <v>50</v>
      </c>
      <c r="N12" s="234">
        <v>80.975000000000009</v>
      </c>
      <c r="O12" s="234">
        <f t="shared" si="2"/>
        <v>4048.7500000000005</v>
      </c>
      <c r="P12" s="256">
        <v>299</v>
      </c>
      <c r="Q12" s="244">
        <v>0.31159306196911724</v>
      </c>
      <c r="R12" s="255">
        <f>(Q5*0.25)</f>
        <v>350</v>
      </c>
      <c r="S12" s="232"/>
      <c r="T12" s="255">
        <f>(S5*0.25)</f>
        <v>0</v>
      </c>
      <c r="U12" s="260"/>
      <c r="V12" s="249">
        <f>((M12*V5)/L5)*1000</f>
        <v>250</v>
      </c>
      <c r="W12" s="260"/>
      <c r="X12" s="260"/>
      <c r="Y12" s="260"/>
      <c r="Z12" s="260"/>
      <c r="AA12" s="260"/>
      <c r="AB12" s="260"/>
      <c r="AC12" s="260"/>
      <c r="AD12" s="260"/>
      <c r="AE12" s="260"/>
      <c r="AF12" s="260"/>
      <c r="AG12" s="260"/>
      <c r="AH12" s="260"/>
      <c r="AI12" s="260"/>
      <c r="AJ12" s="260"/>
    </row>
    <row r="13" spans="2:36" s="213" customFormat="1" ht="18" customHeight="1" outlineLevel="1">
      <c r="C13" s="432">
        <f t="shared" si="0"/>
        <v>0.42131656287892805</v>
      </c>
      <c r="D13" s="431">
        <f>(M13*1)</f>
        <v>82</v>
      </c>
      <c r="E13" s="422">
        <f>SUM(E6:E12)</f>
        <v>1</v>
      </c>
      <c r="F13" s="203">
        <f>SUM(F6:F12)</f>
        <v>194.12799999999999</v>
      </c>
      <c r="G13" s="203"/>
      <c r="H13" s="229"/>
      <c r="I13" s="250">
        <f>(M13/L5)</f>
        <v>0.41</v>
      </c>
      <c r="J13" s="415" t="s">
        <v>252</v>
      </c>
      <c r="K13" s="672" t="s">
        <v>204</v>
      </c>
      <c r="L13" s="232"/>
      <c r="M13" s="255">
        <f>L5-(M6+M7+M8+M9+M10+M11+M12)</f>
        <v>82</v>
      </c>
      <c r="N13" s="234"/>
      <c r="O13" s="234">
        <f t="shared" si="2"/>
        <v>0</v>
      </c>
      <c r="P13" s="232"/>
      <c r="Q13" s="232"/>
      <c r="R13" s="255">
        <f>Q5-(R6+R7+R8+R9+R10+R11+R12)</f>
        <v>574</v>
      </c>
      <c r="S13" s="232"/>
      <c r="T13" s="255">
        <f>S5-(T6+T7+T8+T9+T10+T11+T12)</f>
        <v>0</v>
      </c>
      <c r="U13" s="262"/>
      <c r="V13" s="249">
        <f>((M13*V5)/L5)*1000</f>
        <v>410</v>
      </c>
      <c r="W13" s="262"/>
      <c r="X13" s="262"/>
      <c r="Y13" s="262"/>
      <c r="Z13" s="262"/>
      <c r="AA13" s="262"/>
      <c r="AB13" s="262"/>
      <c r="AC13" s="262"/>
      <c r="AD13" s="262"/>
      <c r="AE13" s="262"/>
      <c r="AF13" s="262"/>
      <c r="AG13" s="262"/>
      <c r="AH13" s="262"/>
      <c r="AI13" s="262"/>
      <c r="AJ13" s="262"/>
    </row>
    <row r="14" spans="2:36" s="213" customFormat="1" ht="18" customHeight="1" outlineLevel="1">
      <c r="C14" s="425">
        <f>SUM(C6:C13)</f>
        <v>1</v>
      </c>
      <c r="D14" s="213">
        <f>SUM(D6:D13)</f>
        <v>194.62799999999999</v>
      </c>
      <c r="E14" s="203"/>
      <c r="F14" s="203"/>
      <c r="G14" s="203"/>
      <c r="H14" s="250"/>
      <c r="I14" s="250"/>
      <c r="J14" s="415" t="s">
        <v>253</v>
      </c>
      <c r="K14" s="672" t="s">
        <v>249</v>
      </c>
      <c r="L14" s="232"/>
      <c r="M14" s="988">
        <f>(L5/20)</f>
        <v>10</v>
      </c>
      <c r="N14" s="234">
        <v>131.07999999999996</v>
      </c>
      <c r="O14" s="234">
        <f t="shared" si="2"/>
        <v>1310.7999999999995</v>
      </c>
      <c r="P14" s="232"/>
      <c r="Q14" s="232"/>
      <c r="R14" s="988">
        <f>(Q5/20)</f>
        <v>70</v>
      </c>
      <c r="S14" s="232"/>
      <c r="T14" s="988">
        <f>(S5/20)</f>
        <v>0</v>
      </c>
      <c r="U14" s="253"/>
      <c r="V14" s="252"/>
      <c r="W14" s="228"/>
      <c r="X14" s="228"/>
      <c r="Y14" s="253"/>
      <c r="Z14" s="253"/>
      <c r="AA14" s="253"/>
      <c r="AB14" s="253"/>
      <c r="AC14" s="253"/>
      <c r="AD14" s="253"/>
      <c r="AE14" s="253"/>
      <c r="AF14" s="253"/>
      <c r="AG14" s="253"/>
      <c r="AH14" s="253"/>
      <c r="AI14" s="253"/>
      <c r="AJ14" s="253"/>
    </row>
    <row r="15" spans="2:36" s="213" customFormat="1" ht="18" customHeight="1" outlineLevel="1">
      <c r="C15" s="425"/>
      <c r="E15" s="203"/>
      <c r="F15" s="203"/>
      <c r="G15" s="203"/>
      <c r="H15" s="250"/>
      <c r="I15" s="250"/>
      <c r="J15" s="998">
        <v>1.1000000000000001</v>
      </c>
      <c r="K15" s="672" t="s">
        <v>689</v>
      </c>
      <c r="L15" s="232"/>
      <c r="M15" s="1113">
        <f>(L5/20)</f>
        <v>10</v>
      </c>
      <c r="N15" s="234">
        <v>15</v>
      </c>
      <c r="O15" s="234">
        <f t="shared" si="2"/>
        <v>150</v>
      </c>
      <c r="P15" s="232"/>
      <c r="Q15" s="232"/>
      <c r="R15" s="988"/>
      <c r="S15" s="232"/>
      <c r="T15" s="988"/>
      <c r="U15" s="253"/>
      <c r="V15" s="252"/>
      <c r="W15" s="228"/>
      <c r="X15" s="228"/>
      <c r="Y15" s="253"/>
      <c r="Z15" s="253"/>
      <c r="AA15" s="253"/>
      <c r="AB15" s="253"/>
      <c r="AC15" s="253"/>
      <c r="AD15" s="253"/>
      <c r="AE15" s="253"/>
      <c r="AF15" s="253"/>
      <c r="AG15" s="253"/>
      <c r="AH15" s="253"/>
      <c r="AI15" s="253"/>
      <c r="AJ15" s="253"/>
    </row>
    <row r="16" spans="2:36" s="213" customFormat="1" ht="18" customHeight="1" outlineLevel="1">
      <c r="C16" s="425"/>
      <c r="E16" s="203"/>
      <c r="F16" s="203"/>
      <c r="G16" s="203"/>
      <c r="H16" s="250"/>
      <c r="I16" s="250"/>
      <c r="J16" s="998">
        <v>1.1100000000000001</v>
      </c>
      <c r="K16" s="672" t="s">
        <v>690</v>
      </c>
      <c r="L16" s="232"/>
      <c r="M16" s="1125">
        <f>(L5)</f>
        <v>200</v>
      </c>
      <c r="N16" s="234">
        <f>((19000*1.16)+(4500*17.5))/15000</f>
        <v>6.7193333333333332</v>
      </c>
      <c r="O16" s="234">
        <f t="shared" si="2"/>
        <v>1343.8666666666666</v>
      </c>
      <c r="P16" s="232"/>
      <c r="Q16" s="232"/>
      <c r="R16" s="1113"/>
      <c r="S16" s="232"/>
      <c r="T16" s="1113"/>
      <c r="U16" s="253"/>
      <c r="V16" s="252"/>
      <c r="W16" s="228"/>
      <c r="X16" s="228"/>
      <c r="Y16" s="253"/>
      <c r="Z16" s="253"/>
      <c r="AA16" s="253"/>
      <c r="AB16" s="253"/>
      <c r="AC16" s="253"/>
      <c r="AD16" s="253"/>
      <c r="AE16" s="253"/>
      <c r="AF16" s="253"/>
      <c r="AG16" s="253"/>
      <c r="AH16" s="253"/>
      <c r="AI16" s="253"/>
      <c r="AJ16" s="253"/>
    </row>
    <row r="17" spans="1:36" s="213" customFormat="1" ht="18" customHeight="1" outlineLevel="1">
      <c r="C17" s="425"/>
      <c r="E17" s="203"/>
      <c r="F17" s="203"/>
      <c r="G17" s="203"/>
      <c r="H17" s="250"/>
      <c r="I17" s="250"/>
      <c r="J17" s="998">
        <v>1.1200000000000001</v>
      </c>
      <c r="K17" s="672" t="s">
        <v>801</v>
      </c>
      <c r="L17" s="232"/>
      <c r="M17" s="1113">
        <f>(L5/20)</f>
        <v>10</v>
      </c>
      <c r="N17" s="234">
        <f>(17.5*20)</f>
        <v>350</v>
      </c>
      <c r="O17" s="234">
        <f t="shared" si="2"/>
        <v>3500</v>
      </c>
      <c r="P17" s="232"/>
      <c r="Q17" s="232"/>
      <c r="R17" s="988"/>
      <c r="S17" s="232"/>
      <c r="T17" s="988"/>
      <c r="U17" s="253"/>
      <c r="V17" s="252"/>
      <c r="W17" s="228"/>
      <c r="X17" s="228"/>
      <c r="Y17" s="253"/>
      <c r="Z17" s="253"/>
      <c r="AA17" s="253"/>
      <c r="AB17" s="253"/>
      <c r="AC17" s="253"/>
      <c r="AD17" s="253"/>
      <c r="AE17" s="253"/>
      <c r="AF17" s="253"/>
      <c r="AG17" s="253"/>
      <c r="AH17" s="253"/>
      <c r="AI17" s="253"/>
      <c r="AJ17" s="253"/>
    </row>
    <row r="18" spans="1:36" s="213" customFormat="1" ht="18" customHeight="1">
      <c r="C18" s="203" t="s">
        <v>567</v>
      </c>
      <c r="D18" s="203"/>
      <c r="E18" s="203" t="s">
        <v>567</v>
      </c>
      <c r="F18" s="203" t="s">
        <v>568</v>
      </c>
      <c r="G18" s="203" t="s">
        <v>240</v>
      </c>
      <c r="H18" s="203">
        <f>1/500</f>
        <v>2E-3</v>
      </c>
      <c r="I18" s="219" t="s">
        <v>250</v>
      </c>
      <c r="J18" s="661" t="s">
        <v>254</v>
      </c>
      <c r="K18" s="662" t="s">
        <v>51</v>
      </c>
      <c r="L18" s="663">
        <v>200</v>
      </c>
      <c r="M18" s="664" t="s">
        <v>242</v>
      </c>
      <c r="N18" s="665"/>
      <c r="O18" s="455"/>
      <c r="P18" s="456">
        <f>SUM(O19:O27)</f>
        <v>38433.150003783689</v>
      </c>
      <c r="Q18" s="457">
        <v>1000</v>
      </c>
      <c r="R18" s="223" t="s">
        <v>242</v>
      </c>
      <c r="S18" s="254"/>
      <c r="T18" s="225"/>
      <c r="U18" s="226">
        <f>(P18/L18)</f>
        <v>192.16575001891843</v>
      </c>
      <c r="V18" s="227">
        <v>1</v>
      </c>
      <c r="W18" s="228"/>
      <c r="X18" s="228"/>
      <c r="Y18" s="228"/>
      <c r="Z18" s="228"/>
      <c r="AA18" s="228"/>
      <c r="AB18" s="228"/>
      <c r="AC18" s="228"/>
      <c r="AD18" s="228"/>
      <c r="AE18" s="228"/>
      <c r="AF18" s="228"/>
      <c r="AG18" s="228"/>
      <c r="AH18" s="228"/>
      <c r="AI18" s="228"/>
      <c r="AJ18" s="228"/>
    </row>
    <row r="19" spans="1:36" s="213" customFormat="1" ht="18" customHeight="1" outlineLevel="1">
      <c r="C19" s="420">
        <f>(D19/D$24)</f>
        <v>7.684036393713814E-2</v>
      </c>
      <c r="D19" s="203">
        <f>(M19*0.929)</f>
        <v>14.864000000000001</v>
      </c>
      <c r="E19" s="420">
        <f>(F19/F$23)</f>
        <v>7.7039494143256976E-2</v>
      </c>
      <c r="F19" s="203">
        <f>(M19*0.929)</f>
        <v>14.864000000000001</v>
      </c>
      <c r="G19" s="229">
        <f>H19*H18</f>
        <v>160</v>
      </c>
      <c r="H19" s="229">
        <f>(M19/L18)*1000000</f>
        <v>80000</v>
      </c>
      <c r="I19" s="250">
        <f>(M19/L18)</f>
        <v>0.08</v>
      </c>
      <c r="J19" s="415" t="s">
        <v>243</v>
      </c>
      <c r="K19" s="672" t="s">
        <v>220</v>
      </c>
      <c r="L19" s="232"/>
      <c r="M19" s="255">
        <f>(L18*0.08)</f>
        <v>16</v>
      </c>
      <c r="N19" s="234">
        <v>513.71367061356273</v>
      </c>
      <c r="O19" s="234">
        <f>(M19*N19)</f>
        <v>8219.4187298170036</v>
      </c>
      <c r="P19" s="235">
        <f>18.5*L18</f>
        <v>3700</v>
      </c>
      <c r="Q19" s="232"/>
      <c r="R19" s="255">
        <f>(Q18*0.08)</f>
        <v>80</v>
      </c>
      <c r="S19" s="232"/>
      <c r="T19" s="255">
        <f>(S18*0.08)</f>
        <v>0</v>
      </c>
      <c r="U19" s="203"/>
      <c r="V19" s="249">
        <f>((M19*V18)/L18)*1000</f>
        <v>80</v>
      </c>
      <c r="W19" s="238"/>
      <c r="X19" s="238"/>
      <c r="Y19" s="238"/>
      <c r="Z19" s="238"/>
      <c r="AA19" s="238"/>
      <c r="AB19" s="238"/>
      <c r="AC19" s="238"/>
      <c r="AD19" s="238"/>
      <c r="AE19" s="238"/>
      <c r="AF19" s="238"/>
      <c r="AG19" s="238"/>
      <c r="AH19" s="238"/>
      <c r="AI19" s="238"/>
      <c r="AJ19" s="238"/>
    </row>
    <row r="20" spans="1:36" s="213" customFormat="1" ht="18" customHeight="1" outlineLevel="1">
      <c r="B20" s="424">
        <f>(SUM(D19:D21)/L18)*1000</f>
        <v>304.7</v>
      </c>
      <c r="C20" s="420">
        <f>(D20/D$24)</f>
        <v>7.9818031430934661E-2</v>
      </c>
      <c r="D20" s="203">
        <f>(M20*0.965)</f>
        <v>15.44</v>
      </c>
      <c r="E20" s="420">
        <f>(F20/F$23)</f>
        <v>8.0024878200476837E-2</v>
      </c>
      <c r="F20" s="203">
        <f>(M20*0.965)</f>
        <v>15.44</v>
      </c>
      <c r="G20" s="229">
        <f>H20*H18</f>
        <v>160</v>
      </c>
      <c r="H20" s="229">
        <f>(M20/L18)*1000000</f>
        <v>80000</v>
      </c>
      <c r="I20" s="250">
        <f>(M20/L18)</f>
        <v>0.08</v>
      </c>
      <c r="J20" s="415" t="s">
        <v>244</v>
      </c>
      <c r="K20" s="672" t="s">
        <v>222</v>
      </c>
      <c r="L20" s="232"/>
      <c r="M20" s="255">
        <f>(L18*0.08)</f>
        <v>16</v>
      </c>
      <c r="N20" s="234">
        <v>1052.3212435233161</v>
      </c>
      <c r="O20" s="234">
        <f>(M20*N20)</f>
        <v>16837.139896373057</v>
      </c>
      <c r="P20" s="270">
        <f>SUM(P18:P19)</f>
        <v>42133.150003783689</v>
      </c>
      <c r="Q20" s="232"/>
      <c r="R20" s="255">
        <f>(Q18*0.08)</f>
        <v>80</v>
      </c>
      <c r="S20" s="232"/>
      <c r="T20" s="255">
        <f>(S18*0.08)</f>
        <v>0</v>
      </c>
      <c r="U20" s="1002">
        <f>(P23/1000)</f>
        <v>0.28499999999999998</v>
      </c>
      <c r="V20" s="249">
        <f>((M20*V18)/L18)*1000</f>
        <v>80</v>
      </c>
      <c r="W20" s="241"/>
      <c r="X20" s="241"/>
      <c r="Y20" s="241"/>
      <c r="Z20" s="241"/>
      <c r="AA20" s="241"/>
      <c r="AB20" s="241"/>
      <c r="AC20" s="241"/>
      <c r="AD20" s="241"/>
      <c r="AE20" s="241"/>
      <c r="AF20" s="241"/>
      <c r="AG20" s="241"/>
      <c r="AH20" s="241"/>
      <c r="AI20" s="241"/>
      <c r="AJ20" s="241"/>
    </row>
    <row r="21" spans="1:36" s="213" customFormat="1" ht="18" customHeight="1" outlineLevel="1">
      <c r="C21" s="420">
        <f>(D21/D$24)</f>
        <v>0.15837468982630273</v>
      </c>
      <c r="D21" s="203">
        <f>(M21*0.851)</f>
        <v>30.635999999999999</v>
      </c>
      <c r="E21" s="420">
        <f>(F21/F$23)</f>
        <v>0.15878511454338137</v>
      </c>
      <c r="F21" s="203">
        <f>(M21*0.851)</f>
        <v>30.635999999999999</v>
      </c>
      <c r="G21" s="229">
        <f>H21*H18</f>
        <v>360</v>
      </c>
      <c r="H21" s="229">
        <f>(M21/L18)*1000000</f>
        <v>180000</v>
      </c>
      <c r="I21" s="250">
        <f>(M21/L18)</f>
        <v>0.18</v>
      </c>
      <c r="J21" s="415" t="s">
        <v>245</v>
      </c>
      <c r="K21" s="672" t="s">
        <v>507</v>
      </c>
      <c r="L21" s="232"/>
      <c r="M21" s="255">
        <f>(L18*0.18)</f>
        <v>36</v>
      </c>
      <c r="N21" s="234">
        <v>83.977075303526561</v>
      </c>
      <c r="O21" s="234">
        <f>(M21*N21)</f>
        <v>3023.1747109269563</v>
      </c>
      <c r="P21" s="243">
        <f>SUM(P20)/L18</f>
        <v>210.66575001891843</v>
      </c>
      <c r="Q21" s="232"/>
      <c r="R21" s="255">
        <f>(Q18*0.18)</f>
        <v>180</v>
      </c>
      <c r="S21" s="232"/>
      <c r="T21" s="255">
        <f>(S18*0.18)</f>
        <v>0</v>
      </c>
      <c r="U21" s="1003">
        <v>2</v>
      </c>
      <c r="V21" s="249">
        <f>((M21*V18)/L18)*1000</f>
        <v>180</v>
      </c>
      <c r="W21" s="238"/>
      <c r="X21" s="238"/>
      <c r="Y21" s="238"/>
      <c r="Z21" s="238"/>
      <c r="AA21" s="238"/>
      <c r="AB21" s="238"/>
      <c r="AC21" s="238"/>
      <c r="AD21" s="238"/>
      <c r="AE21" s="238"/>
      <c r="AF21" s="238"/>
      <c r="AG21" s="238"/>
      <c r="AH21" s="238"/>
      <c r="AI21" s="238"/>
      <c r="AJ21" s="238"/>
    </row>
    <row r="22" spans="1:36" s="213" customFormat="1" ht="18" customHeight="1" outlineLevel="1">
      <c r="C22" s="420">
        <f>(D22/D$24)</f>
        <v>0.26106286186931349</v>
      </c>
      <c r="D22" s="203">
        <f>(M22*1.01)</f>
        <v>50.5</v>
      </c>
      <c r="E22" s="420">
        <f>(F22/F$23)</f>
        <v>0.68415051311288488</v>
      </c>
      <c r="F22" s="421">
        <f>(M22+M23)</f>
        <v>132</v>
      </c>
      <c r="G22" s="229">
        <f>H22*H18</f>
        <v>500</v>
      </c>
      <c r="H22" s="229">
        <f>(M22/L18)*1000000</f>
        <v>250000</v>
      </c>
      <c r="I22" s="250">
        <f>(M22/L18)</f>
        <v>0.25</v>
      </c>
      <c r="J22" s="415" t="s">
        <v>246</v>
      </c>
      <c r="K22" s="672" t="s">
        <v>211</v>
      </c>
      <c r="L22" s="232"/>
      <c r="M22" s="255">
        <f>(L18*0.25)</f>
        <v>50</v>
      </c>
      <c r="N22" s="234">
        <v>80.975000000000009</v>
      </c>
      <c r="O22" s="234">
        <f>(M22*N22)</f>
        <v>4048.7500000000005</v>
      </c>
      <c r="P22" s="244">
        <f>(P23-P21)/P21</f>
        <v>0.35285398777165311</v>
      </c>
      <c r="Q22" s="232"/>
      <c r="R22" s="255">
        <f>(Q18*0.25)</f>
        <v>250</v>
      </c>
      <c r="S22" s="232"/>
      <c r="T22" s="255">
        <f>(S18*0.25)</f>
        <v>0</v>
      </c>
      <c r="U22" s="1004">
        <f>(U21*500)/1000</f>
        <v>1</v>
      </c>
      <c r="V22" s="249">
        <f>((M22*V18)/L18)*1000</f>
        <v>250</v>
      </c>
      <c r="W22" s="238"/>
      <c r="X22" s="238"/>
      <c r="Y22" s="238"/>
      <c r="Z22" s="238"/>
      <c r="AA22" s="238"/>
      <c r="AB22" s="238"/>
      <c r="AC22" s="238"/>
      <c r="AD22" s="238"/>
      <c r="AE22" s="238"/>
      <c r="AF22" s="238"/>
      <c r="AG22" s="238"/>
      <c r="AH22" s="238"/>
      <c r="AI22" s="238"/>
      <c r="AJ22" s="238"/>
    </row>
    <row r="23" spans="1:36" s="213" customFormat="1" ht="18" customHeight="1" outlineLevel="1">
      <c r="C23" s="432">
        <f>(D23/D$24)</f>
        <v>0.423904052936311</v>
      </c>
      <c r="D23" s="431">
        <f>(M23*1)</f>
        <v>82</v>
      </c>
      <c r="E23" s="422">
        <f>SUM(E18:E22)</f>
        <v>1</v>
      </c>
      <c r="F23" s="203">
        <f>SUM(F19:F22)</f>
        <v>192.94</v>
      </c>
      <c r="G23" s="246"/>
      <c r="H23" s="229"/>
      <c r="I23" s="250">
        <f>(M23/L18)</f>
        <v>0.41</v>
      </c>
      <c r="J23" s="415" t="s">
        <v>247</v>
      </c>
      <c r="K23" s="672" t="s">
        <v>204</v>
      </c>
      <c r="L23" s="232"/>
      <c r="M23" s="255">
        <f>L18-(M19+M20+M21+M22)</f>
        <v>82</v>
      </c>
      <c r="N23" s="234"/>
      <c r="O23" s="234"/>
      <c r="P23" s="1000">
        <v>285</v>
      </c>
      <c r="Q23" s="244">
        <v>0.35285398777165311</v>
      </c>
      <c r="R23" s="255">
        <f>Q18-(R19+R20+R21+R22)</f>
        <v>410</v>
      </c>
      <c r="S23" s="232"/>
      <c r="T23" s="255">
        <f>S18-(T19+T20+T21+T22)</f>
        <v>0</v>
      </c>
      <c r="U23" s="1001">
        <f>(U22*P23)</f>
        <v>285</v>
      </c>
      <c r="V23" s="249">
        <f>((M23*V18)/L18)*1000</f>
        <v>410</v>
      </c>
      <c r="W23" s="238"/>
      <c r="X23" s="238"/>
      <c r="Y23" s="238"/>
      <c r="Z23" s="238"/>
      <c r="AA23" s="238"/>
      <c r="AB23" s="238"/>
      <c r="AC23" s="238"/>
      <c r="AD23" s="238"/>
      <c r="AE23" s="238"/>
      <c r="AF23" s="238"/>
      <c r="AG23" s="238"/>
      <c r="AH23" s="238"/>
      <c r="AI23" s="238"/>
      <c r="AJ23" s="238"/>
    </row>
    <row r="24" spans="1:36" s="213" customFormat="1" ht="18" customHeight="1" outlineLevel="1">
      <c r="B24" s="203"/>
      <c r="C24" s="422">
        <f>SUM(C19:C23)</f>
        <v>1</v>
      </c>
      <c r="D24" s="213">
        <f>SUM(D19:D23)</f>
        <v>193.44</v>
      </c>
      <c r="E24" s="203"/>
      <c r="G24" s="246"/>
      <c r="H24" s="229"/>
      <c r="I24" s="250"/>
      <c r="J24" s="415" t="s">
        <v>248</v>
      </c>
      <c r="K24" s="672" t="s">
        <v>249</v>
      </c>
      <c r="L24" s="232"/>
      <c r="M24" s="988">
        <f>(L18/20)</f>
        <v>10</v>
      </c>
      <c r="N24" s="234">
        <v>131.07999999999996</v>
      </c>
      <c r="O24" s="234">
        <f>(M24*N24)</f>
        <v>1310.7999999999995</v>
      </c>
      <c r="P24" s="1124">
        <v>245</v>
      </c>
      <c r="Q24" s="244">
        <v>0.26834079010386147</v>
      </c>
      <c r="R24" s="988">
        <f>(Q18/20)</f>
        <v>50</v>
      </c>
      <c r="S24" s="232"/>
      <c r="T24" s="988">
        <f>(S18/20)</f>
        <v>0</v>
      </c>
      <c r="U24" s="258"/>
      <c r="V24" s="257"/>
      <c r="W24" s="258"/>
      <c r="X24" s="258"/>
      <c r="Y24" s="258"/>
      <c r="Z24" s="258"/>
      <c r="AA24" s="258"/>
      <c r="AB24" s="258"/>
      <c r="AC24" s="258"/>
      <c r="AD24" s="258"/>
      <c r="AE24" s="258"/>
      <c r="AF24" s="258"/>
      <c r="AG24" s="258"/>
      <c r="AH24" s="258"/>
      <c r="AI24" s="258"/>
      <c r="AJ24" s="258"/>
    </row>
    <row r="25" spans="1:36" s="213" customFormat="1" ht="18" customHeight="1" outlineLevel="1">
      <c r="B25" s="203"/>
      <c r="C25" s="422"/>
      <c r="E25" s="203"/>
      <c r="G25" s="246"/>
      <c r="H25" s="229"/>
      <c r="I25" s="250"/>
      <c r="J25" s="415" t="s">
        <v>251</v>
      </c>
      <c r="K25" s="672" t="s">
        <v>689</v>
      </c>
      <c r="L25" s="232"/>
      <c r="M25" s="1113">
        <f>(L18/20)</f>
        <v>10</v>
      </c>
      <c r="N25" s="234">
        <v>15</v>
      </c>
      <c r="O25" s="234">
        <f>(M25*N25)</f>
        <v>150</v>
      </c>
      <c r="P25" s="256">
        <v>240</v>
      </c>
      <c r="Q25" s="244">
        <v>0.29243204733648631</v>
      </c>
      <c r="R25" s="997"/>
      <c r="S25" s="232"/>
      <c r="T25" s="997"/>
      <c r="U25" s="258"/>
      <c r="V25" s="257"/>
      <c r="W25" s="258"/>
      <c r="X25" s="258"/>
      <c r="Y25" s="258"/>
      <c r="Z25" s="258"/>
      <c r="AA25" s="258"/>
      <c r="AB25" s="258"/>
      <c r="AC25" s="258"/>
      <c r="AD25" s="258"/>
      <c r="AE25" s="258"/>
      <c r="AF25" s="258"/>
      <c r="AG25" s="258"/>
      <c r="AH25" s="258"/>
      <c r="AI25" s="258"/>
      <c r="AJ25" s="258"/>
    </row>
    <row r="26" spans="1:36" s="213" customFormat="1" ht="18" customHeight="1" outlineLevel="1">
      <c r="B26" s="203"/>
      <c r="C26" s="422"/>
      <c r="E26" s="203"/>
      <c r="G26" s="246"/>
      <c r="H26" s="229"/>
      <c r="I26" s="250"/>
      <c r="J26" s="415" t="s">
        <v>252</v>
      </c>
      <c r="K26" s="672" t="s">
        <v>690</v>
      </c>
      <c r="L26" s="232"/>
      <c r="M26" s="1125">
        <f>(L18)</f>
        <v>200</v>
      </c>
      <c r="N26" s="234">
        <f>((19000*1.16)+(4500*17.5))/15000</f>
        <v>6.7193333333333332</v>
      </c>
      <c r="O26" s="234">
        <f>(M26*N26)</f>
        <v>1343.8666666666666</v>
      </c>
      <c r="P26" s="232"/>
      <c r="Q26" s="232"/>
      <c r="R26" s="1113"/>
      <c r="S26" s="232"/>
      <c r="T26" s="1113"/>
      <c r="U26" s="258"/>
      <c r="V26" s="257"/>
      <c r="W26" s="258"/>
      <c r="X26" s="258"/>
      <c r="Y26" s="258"/>
      <c r="Z26" s="258"/>
      <c r="AA26" s="258"/>
      <c r="AB26" s="258"/>
      <c r="AC26" s="258"/>
      <c r="AD26" s="258"/>
      <c r="AE26" s="258"/>
      <c r="AF26" s="258"/>
      <c r="AG26" s="258"/>
      <c r="AH26" s="258"/>
      <c r="AI26" s="258"/>
      <c r="AJ26" s="258"/>
    </row>
    <row r="27" spans="1:36" s="213" customFormat="1" ht="18" customHeight="1" outlineLevel="1">
      <c r="B27" s="203"/>
      <c r="C27" s="422"/>
      <c r="E27" s="203"/>
      <c r="G27" s="246"/>
      <c r="H27" s="229"/>
      <c r="I27" s="250"/>
      <c r="J27" s="415" t="s">
        <v>253</v>
      </c>
      <c r="K27" s="672" t="s">
        <v>801</v>
      </c>
      <c r="L27" s="232"/>
      <c r="M27" s="1113">
        <f>(L18/20)</f>
        <v>10</v>
      </c>
      <c r="N27" s="234">
        <f>(17.5*20)</f>
        <v>350</v>
      </c>
      <c r="O27" s="234">
        <f>(M27*N27)</f>
        <v>3500</v>
      </c>
      <c r="P27" s="232"/>
      <c r="Q27" s="232"/>
      <c r="R27" s="997"/>
      <c r="S27" s="232"/>
      <c r="T27" s="997"/>
      <c r="U27" s="258"/>
      <c r="V27" s="257"/>
      <c r="W27" s="258"/>
      <c r="X27" s="258"/>
      <c r="Y27" s="258"/>
      <c r="Z27" s="258"/>
      <c r="AA27" s="258"/>
      <c r="AB27" s="258"/>
      <c r="AC27" s="258"/>
      <c r="AD27" s="258"/>
      <c r="AE27" s="258"/>
      <c r="AF27" s="258"/>
      <c r="AG27" s="258"/>
      <c r="AH27" s="258"/>
      <c r="AI27" s="258"/>
      <c r="AJ27" s="258"/>
    </row>
    <row r="28" spans="1:36" s="213" customFormat="1" ht="18" customHeight="1">
      <c r="A28" s="301" t="s">
        <v>412</v>
      </c>
      <c r="B28" s="301"/>
      <c r="C28" s="301"/>
      <c r="D28" s="301"/>
      <c r="E28" s="301"/>
      <c r="F28" s="203"/>
      <c r="G28" s="219" t="s">
        <v>268</v>
      </c>
      <c r="H28" s="279">
        <f>2/500</f>
        <v>4.0000000000000001E-3</v>
      </c>
      <c r="I28" s="203" t="s">
        <v>511</v>
      </c>
      <c r="J28" s="661" t="s">
        <v>411</v>
      </c>
      <c r="K28" s="666" t="s">
        <v>641</v>
      </c>
      <c r="L28" s="663">
        <v>200</v>
      </c>
      <c r="M28" s="664" t="s">
        <v>242</v>
      </c>
      <c r="N28" s="667">
        <f>(1350/9.46)</f>
        <v>142.70613107822408</v>
      </c>
      <c r="O28" s="220"/>
      <c r="P28" s="221">
        <f>SUM(O29:O38)</f>
        <v>18076.560217561906</v>
      </c>
      <c r="Q28" s="222">
        <v>4000</v>
      </c>
      <c r="R28" s="223" t="s">
        <v>242</v>
      </c>
      <c r="S28" s="254"/>
      <c r="T28" s="225"/>
      <c r="U28" s="226">
        <f>(P28/L28)</f>
        <v>90.382801087809526</v>
      </c>
      <c r="V28" s="227">
        <v>1</v>
      </c>
      <c r="W28" s="238"/>
      <c r="X28" s="238"/>
      <c r="Y28" s="228"/>
      <c r="Z28" s="228"/>
      <c r="AA28" s="228"/>
      <c r="AB28" s="228"/>
      <c r="AC28" s="228"/>
      <c r="AD28" s="228"/>
      <c r="AE28" s="228"/>
      <c r="AF28" s="228"/>
      <c r="AG28" s="228"/>
      <c r="AH28" s="228"/>
      <c r="AI28" s="228"/>
      <c r="AJ28" s="228"/>
    </row>
    <row r="29" spans="1:36" s="213" customFormat="1" ht="18" customHeight="1" outlineLevel="1">
      <c r="A29" s="302">
        <f t="shared" ref="A29:A34" si="3">(H29/10000)/100</f>
        <v>1.2225E-2</v>
      </c>
      <c r="B29" s="266" t="s">
        <v>406</v>
      </c>
      <c r="C29" s="266"/>
      <c r="D29" s="266"/>
      <c r="E29" s="427">
        <f>(H29/1000000)</f>
        <v>1.2225E-2</v>
      </c>
      <c r="F29" s="203"/>
      <c r="G29" s="267">
        <f>(H29*H28)</f>
        <v>48.9</v>
      </c>
      <c r="H29" s="246">
        <f>(I29*0.0978)*1000000</f>
        <v>12225</v>
      </c>
      <c r="I29" s="230">
        <f>(M29/L28)</f>
        <v>0.125</v>
      </c>
      <c r="J29" s="415" t="s">
        <v>243</v>
      </c>
      <c r="K29" s="672" t="s">
        <v>269</v>
      </c>
      <c r="L29" s="232"/>
      <c r="M29" s="242">
        <f>(L28*0.125)</f>
        <v>25</v>
      </c>
      <c r="N29" s="268">
        <v>6.04</v>
      </c>
      <c r="O29" s="234">
        <f t="shared" ref="O29:O38" si="4">(M29*N29)</f>
        <v>151</v>
      </c>
      <c r="P29" s="235">
        <f>(18.5/2)*L28</f>
        <v>1850</v>
      </c>
      <c r="Q29" s="269"/>
      <c r="R29" s="242">
        <f>(Q28*0.125)</f>
        <v>500</v>
      </c>
      <c r="S29" s="269"/>
      <c r="T29" s="242">
        <f>(S28*0.125)</f>
        <v>0</v>
      </c>
      <c r="U29" s="1005"/>
      <c r="V29" s="281">
        <f>((M29*V28)/L28)*1000</f>
        <v>125</v>
      </c>
      <c r="W29" s="238"/>
      <c r="X29" s="238"/>
      <c r="Y29" s="238"/>
      <c r="Z29" s="238"/>
      <c r="AA29" s="238"/>
      <c r="AB29" s="238"/>
      <c r="AC29" s="238"/>
      <c r="AD29" s="238"/>
      <c r="AE29" s="238"/>
      <c r="AF29" s="238"/>
      <c r="AG29" s="238"/>
      <c r="AH29" s="238"/>
      <c r="AI29" s="238"/>
      <c r="AJ29" s="238"/>
    </row>
    <row r="30" spans="1:36" s="213" customFormat="1" ht="18" customHeight="1" outlineLevel="1">
      <c r="A30" s="302">
        <f t="shared" si="3"/>
        <v>1.0000000000000002E-2</v>
      </c>
      <c r="B30" s="266" t="s">
        <v>407</v>
      </c>
      <c r="C30" s="266"/>
      <c r="D30" s="266"/>
      <c r="E30" s="427">
        <f>(H30/1000000)</f>
        <v>1.0000000000000002E-2</v>
      </c>
      <c r="F30" s="203"/>
      <c r="G30" s="267">
        <f>(H30*H28)</f>
        <v>40.000000000000007</v>
      </c>
      <c r="H30" s="246">
        <f>(I30*0.2)*1000000</f>
        <v>10000.000000000002</v>
      </c>
      <c r="I30" s="230">
        <f>(M30/L28)</f>
        <v>0.05</v>
      </c>
      <c r="J30" s="415" t="s">
        <v>244</v>
      </c>
      <c r="K30" s="672" t="s">
        <v>270</v>
      </c>
      <c r="L30" s="232"/>
      <c r="M30" s="242">
        <f>(L28*0.05)</f>
        <v>10</v>
      </c>
      <c r="N30" s="234">
        <v>255</v>
      </c>
      <c r="O30" s="234">
        <f>(M30*N30)</f>
        <v>2550</v>
      </c>
      <c r="P30" s="270">
        <f>SUM(P28:P29)</f>
        <v>19926.560217561906</v>
      </c>
      <c r="Q30" s="232"/>
      <c r="R30" s="242">
        <f>(Q28*0.05)</f>
        <v>200</v>
      </c>
      <c r="S30" s="232"/>
      <c r="T30" s="242">
        <f>(S28*0.05)</f>
        <v>0</v>
      </c>
      <c r="U30" s="1002">
        <f>(P33/1000)</f>
        <v>0.14499999999999999</v>
      </c>
      <c r="V30" s="281">
        <f>((M30*V28)/L28)*1000</f>
        <v>50</v>
      </c>
      <c r="W30" s="241"/>
      <c r="X30" s="241"/>
      <c r="Y30" s="238"/>
      <c r="Z30" s="238"/>
      <c r="AA30" s="238"/>
      <c r="AB30" s="238"/>
      <c r="AC30" s="238"/>
      <c r="AD30" s="238"/>
      <c r="AE30" s="238"/>
      <c r="AF30" s="238"/>
      <c r="AG30" s="238"/>
      <c r="AH30" s="238"/>
      <c r="AI30" s="238"/>
      <c r="AJ30" s="238"/>
    </row>
    <row r="31" spans="1:36" s="213" customFormat="1" ht="18" customHeight="1" outlineLevel="1">
      <c r="A31" s="302">
        <f t="shared" si="3"/>
        <v>9.8999999999999973E-3</v>
      </c>
      <c r="B31" s="266" t="s">
        <v>408</v>
      </c>
      <c r="C31" s="266"/>
      <c r="D31" s="266"/>
      <c r="E31" s="427">
        <f>(H31/1000000)</f>
        <v>9.8999999999999973E-3</v>
      </c>
      <c r="F31" s="203"/>
      <c r="G31" s="267">
        <f>(H31*H28)</f>
        <v>39.599999999999994</v>
      </c>
      <c r="H31" s="246">
        <f>(I31*0.22)*1000000</f>
        <v>9899.9999999999982</v>
      </c>
      <c r="I31" s="230">
        <f>(M31/L28)</f>
        <v>4.4999999999999998E-2</v>
      </c>
      <c r="J31" s="415" t="s">
        <v>245</v>
      </c>
      <c r="K31" s="672" t="s">
        <v>271</v>
      </c>
      <c r="L31" s="232"/>
      <c r="M31" s="242">
        <f>(L28*0.045)</f>
        <v>9</v>
      </c>
      <c r="N31" s="234">
        <v>255</v>
      </c>
      <c r="O31" s="234">
        <f>(M31*N31)</f>
        <v>2295</v>
      </c>
      <c r="P31" s="243">
        <f>SUM(P30)/L28</f>
        <v>99.632801087809526</v>
      </c>
      <c r="Q31" s="232"/>
      <c r="R31" s="242">
        <f>(Q28*0.045)</f>
        <v>180</v>
      </c>
      <c r="S31" s="232"/>
      <c r="T31" s="242">
        <f>(S28*0.045)</f>
        <v>0</v>
      </c>
      <c r="U31" s="1003">
        <v>4</v>
      </c>
      <c r="V31" s="281">
        <f>((M31*V28)/L28)*1000</f>
        <v>45</v>
      </c>
      <c r="W31" s="260"/>
      <c r="X31" s="260"/>
      <c r="Y31" s="241"/>
      <c r="Z31" s="241"/>
      <c r="AA31" s="241"/>
      <c r="AB31" s="241"/>
      <c r="AC31" s="241"/>
      <c r="AD31" s="241"/>
      <c r="AE31" s="241"/>
      <c r="AF31" s="241"/>
      <c r="AG31" s="241"/>
      <c r="AH31" s="241"/>
      <c r="AI31" s="241"/>
      <c r="AJ31" s="241"/>
    </row>
    <row r="32" spans="1:36" s="213" customFormat="1" ht="18" customHeight="1" outlineLevel="1">
      <c r="A32" s="302">
        <f t="shared" si="3"/>
        <v>3.2500000000000001E-2</v>
      </c>
      <c r="B32" s="266" t="s">
        <v>409</v>
      </c>
      <c r="C32" s="266"/>
      <c r="D32" s="266"/>
      <c r="E32" s="427">
        <f>(H32/1000000)</f>
        <v>3.2500000000000001E-2</v>
      </c>
      <c r="F32" s="203"/>
      <c r="G32" s="267">
        <f>(H32*H28)</f>
        <v>130</v>
      </c>
      <c r="H32" s="246">
        <f>(I32*0.26)*1000000</f>
        <v>32500</v>
      </c>
      <c r="I32" s="230">
        <f>(M32/L28)</f>
        <v>0.125</v>
      </c>
      <c r="J32" s="415" t="s">
        <v>246</v>
      </c>
      <c r="K32" s="672" t="s">
        <v>272</v>
      </c>
      <c r="L32" s="232"/>
      <c r="M32" s="242">
        <f>(L28*0.125)</f>
        <v>25</v>
      </c>
      <c r="N32" s="234">
        <v>255</v>
      </c>
      <c r="O32" s="234">
        <f>(M32*N32)</f>
        <v>6375</v>
      </c>
      <c r="P32" s="244">
        <f>(P33-P31)/P31</f>
        <v>0.45534400736366865</v>
      </c>
      <c r="Q32" s="232"/>
      <c r="R32" s="242">
        <f>(Q28*0.125)</f>
        <v>500</v>
      </c>
      <c r="S32" s="232"/>
      <c r="T32" s="242">
        <f>(S28*0.125)</f>
        <v>0</v>
      </c>
      <c r="U32" s="1004">
        <f>(U31*500)/1000</f>
        <v>2</v>
      </c>
      <c r="V32" s="281">
        <f>((M32*V28)/L28)*1000</f>
        <v>125</v>
      </c>
      <c r="W32" s="238"/>
      <c r="X32" s="238"/>
      <c r="Y32" s="260"/>
      <c r="Z32" s="260"/>
      <c r="AA32" s="260"/>
      <c r="AB32" s="260"/>
      <c r="AC32" s="260"/>
      <c r="AD32" s="260"/>
      <c r="AE32" s="260"/>
      <c r="AF32" s="260"/>
      <c r="AG32" s="260"/>
      <c r="AH32" s="260"/>
      <c r="AI32" s="260"/>
      <c r="AJ32" s="260"/>
    </row>
    <row r="33" spans="1:36" s="213" customFormat="1" ht="18" customHeight="1" outlineLevel="1">
      <c r="A33" s="302">
        <f t="shared" si="3"/>
        <v>9.9500000000000005E-3</v>
      </c>
      <c r="B33" s="266" t="s">
        <v>410</v>
      </c>
      <c r="C33" s="266"/>
      <c r="D33" s="266"/>
      <c r="E33" s="266"/>
      <c r="F33" s="203"/>
      <c r="G33" s="267">
        <f>(H33*H28)</f>
        <v>39.800000000000004</v>
      </c>
      <c r="H33" s="246">
        <f>(I33*0.995)*1000000</f>
        <v>9950</v>
      </c>
      <c r="I33" s="250">
        <f>(M33/L28)</f>
        <v>0.01</v>
      </c>
      <c r="J33" s="415" t="s">
        <v>247</v>
      </c>
      <c r="K33" s="672" t="s">
        <v>273</v>
      </c>
      <c r="L33" s="232"/>
      <c r="M33" s="242">
        <f>(L28*0.01)</f>
        <v>2</v>
      </c>
      <c r="N33" s="268">
        <v>200.44677544761907</v>
      </c>
      <c r="O33" s="234">
        <f>(M33*N33)</f>
        <v>400.89355089523815</v>
      </c>
      <c r="P33" s="1000">
        <v>145</v>
      </c>
      <c r="Q33" s="244">
        <v>0.39971116214042729</v>
      </c>
      <c r="R33" s="242">
        <f>(Q28*0.01)</f>
        <v>40</v>
      </c>
      <c r="S33" s="232"/>
      <c r="T33" s="242">
        <f>(S28*0.01)</f>
        <v>0</v>
      </c>
      <c r="U33" s="1001">
        <f>(U32*P33)</f>
        <v>290</v>
      </c>
      <c r="V33" s="281">
        <f>((M33*V28)/L28)*1000</f>
        <v>10</v>
      </c>
      <c r="W33" s="238"/>
      <c r="X33" s="238"/>
      <c r="Y33" s="238"/>
      <c r="Z33" s="238"/>
      <c r="AA33" s="238"/>
      <c r="AB33" s="238"/>
      <c r="AC33" s="238"/>
      <c r="AD33" s="238"/>
      <c r="AE33" s="238"/>
      <c r="AF33" s="238"/>
      <c r="AG33" s="238"/>
      <c r="AH33" s="238"/>
      <c r="AI33" s="238"/>
      <c r="AJ33" s="238"/>
    </row>
    <row r="34" spans="1:36" s="213" customFormat="1" ht="18" customHeight="1" outlineLevel="1">
      <c r="A34" s="302">
        <f t="shared" si="3"/>
        <v>1.5875E-2</v>
      </c>
      <c r="B34" s="266" t="s">
        <v>405</v>
      </c>
      <c r="C34" s="266"/>
      <c r="D34" s="266"/>
      <c r="E34" s="266"/>
      <c r="F34" s="203"/>
      <c r="G34" s="267">
        <f>(H34*H28)</f>
        <v>63.5</v>
      </c>
      <c r="H34" s="246">
        <f>(I34*0.127)*1000000</f>
        <v>15875</v>
      </c>
      <c r="I34" s="230">
        <f>(M29/L28)</f>
        <v>0.125</v>
      </c>
      <c r="J34" s="415" t="s">
        <v>248</v>
      </c>
      <c r="K34" s="672" t="s">
        <v>204</v>
      </c>
      <c r="L34" s="232"/>
      <c r="M34" s="1125">
        <f>L28-SUM(M29:M33)</f>
        <v>129</v>
      </c>
      <c r="N34" s="234"/>
      <c r="O34" s="234">
        <f t="shared" si="4"/>
        <v>0</v>
      </c>
      <c r="P34" s="1124">
        <v>112.5</v>
      </c>
      <c r="Q34" s="244">
        <v>0.30672946609388041</v>
      </c>
      <c r="R34" s="671">
        <f>Q28-SUM(R29:R33)</f>
        <v>2580</v>
      </c>
      <c r="S34" s="232"/>
      <c r="T34" s="671">
        <f>S28-SUM(T29:T33)</f>
        <v>0</v>
      </c>
      <c r="U34" s="1005"/>
      <c r="V34" s="282">
        <f>((M34*V28)/L28)*1000</f>
        <v>645</v>
      </c>
      <c r="W34" s="262"/>
      <c r="X34" s="262"/>
      <c r="Y34" s="262"/>
      <c r="Z34" s="262"/>
      <c r="AA34" s="262"/>
      <c r="AB34" s="262"/>
      <c r="AC34" s="262"/>
      <c r="AD34" s="262"/>
      <c r="AE34" s="262"/>
      <c r="AF34" s="262"/>
      <c r="AG34" s="262"/>
      <c r="AH34" s="262"/>
      <c r="AI34" s="262"/>
      <c r="AJ34" s="262"/>
    </row>
    <row r="35" spans="1:36" s="213" customFormat="1" ht="18" customHeight="1" outlineLevel="1">
      <c r="F35" s="203"/>
      <c r="G35" s="203"/>
      <c r="H35" s="203"/>
      <c r="I35" s="203"/>
      <c r="J35" s="415" t="s">
        <v>251</v>
      </c>
      <c r="K35" s="672" t="s">
        <v>249</v>
      </c>
      <c r="L35" s="232"/>
      <c r="M35" s="988">
        <f>(L28/20)</f>
        <v>10</v>
      </c>
      <c r="N35" s="234">
        <v>131.07999999999998</v>
      </c>
      <c r="O35" s="234">
        <f t="shared" si="4"/>
        <v>1310.7999999999997</v>
      </c>
      <c r="P35" s="256">
        <v>110</v>
      </c>
      <c r="Q35" s="244">
        <v>0.39907337009740956</v>
      </c>
      <c r="R35" s="988">
        <f>(Q28/20)</f>
        <v>200</v>
      </c>
      <c r="S35" s="232"/>
      <c r="T35" s="988">
        <f>(S28/20)</f>
        <v>0</v>
      </c>
      <c r="U35" s="1006"/>
      <c r="V35" s="273"/>
      <c r="W35" s="276"/>
      <c r="X35" s="276"/>
      <c r="Y35" s="253"/>
      <c r="Z35" s="253"/>
      <c r="AA35" s="253"/>
      <c r="AB35" s="253"/>
      <c r="AC35" s="253"/>
      <c r="AD35" s="253"/>
      <c r="AE35" s="253"/>
      <c r="AF35" s="253"/>
      <c r="AG35" s="253"/>
      <c r="AH35" s="253"/>
      <c r="AI35" s="253"/>
      <c r="AJ35" s="253"/>
    </row>
    <row r="36" spans="1:36" s="213" customFormat="1" ht="18" customHeight="1" outlineLevel="1">
      <c r="F36" s="203"/>
      <c r="G36" s="203"/>
      <c r="H36" s="203"/>
      <c r="I36" s="203"/>
      <c r="J36" s="415" t="s">
        <v>252</v>
      </c>
      <c r="K36" s="672" t="s">
        <v>689</v>
      </c>
      <c r="L36" s="232"/>
      <c r="M36" s="1113">
        <f>(L28/20)</f>
        <v>10</v>
      </c>
      <c r="N36" s="234">
        <v>15</v>
      </c>
      <c r="O36" s="234">
        <f t="shared" si="4"/>
        <v>150</v>
      </c>
      <c r="P36" s="275"/>
      <c r="Q36" s="232"/>
      <c r="R36" s="997"/>
      <c r="S36" s="232"/>
      <c r="T36" s="997"/>
      <c r="U36" s="1007"/>
      <c r="V36" s="273"/>
      <c r="W36" s="276"/>
      <c r="X36" s="276"/>
      <c r="Y36" s="253"/>
      <c r="Z36" s="253"/>
      <c r="AA36" s="253"/>
      <c r="AB36" s="253"/>
      <c r="AC36" s="253"/>
      <c r="AD36" s="253"/>
      <c r="AE36" s="253"/>
      <c r="AF36" s="253"/>
      <c r="AG36" s="253"/>
      <c r="AH36" s="253"/>
      <c r="AI36" s="253"/>
      <c r="AJ36" s="253"/>
    </row>
    <row r="37" spans="1:36" s="213" customFormat="1" ht="18" customHeight="1" outlineLevel="1">
      <c r="F37" s="203"/>
      <c r="G37" s="203"/>
      <c r="H37" s="203"/>
      <c r="I37" s="203"/>
      <c r="J37" s="415">
        <v>1.9</v>
      </c>
      <c r="K37" s="672" t="s">
        <v>690</v>
      </c>
      <c r="L37" s="232"/>
      <c r="M37" s="1125">
        <f>(L28)</f>
        <v>200</v>
      </c>
      <c r="N37" s="234">
        <f>((19000*1.16)+(4500*17.5))/15000</f>
        <v>6.7193333333333332</v>
      </c>
      <c r="O37" s="234">
        <f t="shared" si="4"/>
        <v>1343.8666666666666</v>
      </c>
      <c r="P37" s="275"/>
      <c r="Q37" s="232"/>
      <c r="R37" s="1113"/>
      <c r="S37" s="232"/>
      <c r="T37" s="1113"/>
      <c r="U37" s="1007"/>
      <c r="V37" s="273"/>
      <c r="W37" s="276"/>
      <c r="X37" s="276"/>
      <c r="Y37" s="253"/>
      <c r="Z37" s="253"/>
      <c r="AA37" s="253"/>
      <c r="AB37" s="253"/>
      <c r="AC37" s="253"/>
      <c r="AD37" s="253"/>
      <c r="AE37" s="253"/>
      <c r="AF37" s="253"/>
      <c r="AG37" s="253"/>
      <c r="AH37" s="253"/>
      <c r="AI37" s="253"/>
      <c r="AJ37" s="253"/>
    </row>
    <row r="38" spans="1:36" s="213" customFormat="1" ht="18" customHeight="1" outlineLevel="1">
      <c r="F38" s="203"/>
      <c r="G38" s="203"/>
      <c r="H38" s="203"/>
      <c r="I38" s="203"/>
      <c r="J38" s="998">
        <v>1.1000000000000001</v>
      </c>
      <c r="K38" s="672" t="s">
        <v>801</v>
      </c>
      <c r="L38" s="232"/>
      <c r="M38" s="1113">
        <f>(L28/20)</f>
        <v>10</v>
      </c>
      <c r="N38" s="234">
        <f>(17.5*20)</f>
        <v>350</v>
      </c>
      <c r="O38" s="234">
        <f t="shared" si="4"/>
        <v>3500</v>
      </c>
      <c r="P38" s="275"/>
      <c r="Q38" s="232"/>
      <c r="R38" s="997"/>
      <c r="S38" s="232"/>
      <c r="T38" s="997"/>
      <c r="U38" s="1007"/>
      <c r="V38" s="273"/>
      <c r="W38" s="276"/>
      <c r="X38" s="276"/>
      <c r="Y38" s="253"/>
      <c r="Z38" s="253"/>
      <c r="AA38" s="253"/>
      <c r="AB38" s="253"/>
      <c r="AC38" s="253"/>
      <c r="AD38" s="253"/>
      <c r="AE38" s="253"/>
      <c r="AF38" s="253"/>
      <c r="AG38" s="253"/>
      <c r="AH38" s="253"/>
      <c r="AI38" s="253"/>
      <c r="AJ38" s="253"/>
    </row>
    <row r="39" spans="1:36" s="213" customFormat="1" ht="18" customHeight="1">
      <c r="B39" s="263" t="s">
        <v>58</v>
      </c>
      <c r="C39" s="301"/>
      <c r="D39" s="301"/>
      <c r="E39" s="301"/>
      <c r="F39" s="301"/>
      <c r="G39" s="219" t="s">
        <v>263</v>
      </c>
      <c r="H39" s="264">
        <f>30/1000</f>
        <v>0.03</v>
      </c>
      <c r="I39" s="203"/>
      <c r="J39" s="661" t="s">
        <v>264</v>
      </c>
      <c r="K39" s="666" t="s">
        <v>691</v>
      </c>
      <c r="L39" s="663">
        <v>1000</v>
      </c>
      <c r="M39" s="664" t="s">
        <v>242</v>
      </c>
      <c r="N39" s="665"/>
      <c r="O39" s="220"/>
      <c r="P39" s="221">
        <f>SUM(O40:O50)</f>
        <v>40095.483492063489</v>
      </c>
      <c r="Q39" s="222" t="e">
        <f>(#REF!)</f>
        <v>#REF!</v>
      </c>
      <c r="R39" s="223" t="s">
        <v>242</v>
      </c>
      <c r="S39" s="254"/>
      <c r="T39" s="225"/>
      <c r="U39" s="226">
        <f>(P39/L39)</f>
        <v>40.095483492063487</v>
      </c>
      <c r="V39" s="227">
        <v>1</v>
      </c>
      <c r="W39" s="238"/>
      <c r="X39" s="238"/>
      <c r="Y39" s="228"/>
      <c r="Z39" s="228"/>
      <c r="AA39" s="228"/>
      <c r="AB39" s="228"/>
      <c r="AC39" s="228"/>
      <c r="AD39" s="228"/>
      <c r="AE39" s="228"/>
      <c r="AF39" s="228"/>
      <c r="AG39" s="228"/>
      <c r="AH39" s="228"/>
      <c r="AI39" s="228"/>
      <c r="AJ39" s="228"/>
    </row>
    <row r="40" spans="1:36" s="213" customFormat="1" ht="18" customHeight="1" outlineLevel="1">
      <c r="B40" s="266" t="s">
        <v>256</v>
      </c>
      <c r="C40" s="266"/>
      <c r="D40" s="266"/>
      <c r="E40" s="266"/>
      <c r="F40" s="266"/>
      <c r="G40" s="267">
        <f>(H40*H39)</f>
        <v>15000</v>
      </c>
      <c r="H40" s="246">
        <f>((M40)/L39)*1000000</f>
        <v>500000</v>
      </c>
      <c r="I40" s="230">
        <f>(M40/L39)</f>
        <v>0.5</v>
      </c>
      <c r="J40" s="415" t="s">
        <v>243</v>
      </c>
      <c r="K40" s="672" t="s">
        <v>218</v>
      </c>
      <c r="L40" s="232"/>
      <c r="M40" s="255">
        <f>(L39*0.5)</f>
        <v>500</v>
      </c>
      <c r="N40" s="268">
        <v>1</v>
      </c>
      <c r="O40" s="234">
        <f t="shared" ref="O40:O50" si="5">(M40*N40)</f>
        <v>500</v>
      </c>
      <c r="P40" s="416">
        <f>((18.5/3)*L39)</f>
        <v>6166.666666666667</v>
      </c>
      <c r="Q40" s="269"/>
      <c r="R40" s="255" t="e">
        <f>(Q39*0.5)</f>
        <v>#REF!</v>
      </c>
      <c r="S40" s="269"/>
      <c r="T40" s="255">
        <f>(S39*0.5)</f>
        <v>0</v>
      </c>
      <c r="U40" s="241" t="s">
        <v>565</v>
      </c>
      <c r="V40" s="249">
        <f>((M40*V39)/L39)*1000</f>
        <v>500</v>
      </c>
      <c r="W40" s="238"/>
      <c r="X40" s="238"/>
      <c r="Y40" s="238"/>
      <c r="Z40" s="238"/>
      <c r="AA40" s="238"/>
      <c r="AB40" s="238"/>
      <c r="AC40" s="238"/>
      <c r="AD40" s="238"/>
      <c r="AE40" s="238"/>
      <c r="AF40" s="238"/>
      <c r="AG40" s="238"/>
      <c r="AH40" s="238"/>
      <c r="AI40" s="238"/>
      <c r="AJ40" s="238"/>
    </row>
    <row r="41" spans="1:36" s="213" customFormat="1" ht="18" customHeight="1" outlineLevel="1">
      <c r="B41" s="266" t="s">
        <v>257</v>
      </c>
      <c r="C41" s="266"/>
      <c r="D41" s="266"/>
      <c r="E41" s="266"/>
      <c r="F41" s="266"/>
      <c r="G41" s="267">
        <f>(H41*H39)</f>
        <v>750</v>
      </c>
      <c r="H41" s="246">
        <f>(M41/L39)*1000000</f>
        <v>25000</v>
      </c>
      <c r="I41" s="230">
        <f>(M41/L39)</f>
        <v>2.5000000000000001E-2</v>
      </c>
      <c r="J41" s="415" t="s">
        <v>244</v>
      </c>
      <c r="K41" s="672" t="s">
        <v>208</v>
      </c>
      <c r="L41" s="232"/>
      <c r="M41" s="242">
        <f>(L39*0.025)</f>
        <v>25</v>
      </c>
      <c r="N41" s="234">
        <v>35.119999999999997</v>
      </c>
      <c r="O41" s="234">
        <f t="shared" si="5"/>
        <v>877.99999999999989</v>
      </c>
      <c r="P41" s="417">
        <f>SUM(P39:P40)</f>
        <v>46262.150158730154</v>
      </c>
      <c r="Q41" s="232"/>
      <c r="R41" s="242" t="e">
        <f>(Q39*0.025)</f>
        <v>#REF!</v>
      </c>
      <c r="S41" s="232"/>
      <c r="T41" s="242">
        <f>(S39*0.025)</f>
        <v>0</v>
      </c>
      <c r="U41" s="1008" t="s">
        <v>260</v>
      </c>
      <c r="V41" s="237">
        <f>((M41*V39)/L39)*1000</f>
        <v>25</v>
      </c>
      <c r="W41" s="241"/>
      <c r="X41" s="241"/>
      <c r="Y41" s="238"/>
      <c r="Z41" s="238"/>
      <c r="AA41" s="238"/>
      <c r="AB41" s="238"/>
      <c r="AC41" s="238"/>
      <c r="AD41" s="238"/>
      <c r="AE41" s="238"/>
      <c r="AF41" s="238"/>
      <c r="AG41" s="238"/>
      <c r="AH41" s="238"/>
      <c r="AI41" s="238"/>
      <c r="AJ41" s="238"/>
    </row>
    <row r="42" spans="1:36" s="213" customFormat="1" ht="28.5" customHeight="1" outlineLevel="1">
      <c r="B42" s="266" t="s">
        <v>258</v>
      </c>
      <c r="C42" s="266"/>
      <c r="D42" s="266"/>
      <c r="E42" s="266"/>
      <c r="F42" s="266"/>
      <c r="G42" s="267">
        <f>(H42*H39)</f>
        <v>2745</v>
      </c>
      <c r="H42" s="246">
        <f>(I42*0.61)*1000000</f>
        <v>91500</v>
      </c>
      <c r="I42" s="230">
        <f>(M42/L39)</f>
        <v>0.15</v>
      </c>
      <c r="J42" s="415" t="s">
        <v>245</v>
      </c>
      <c r="K42" s="672" t="s">
        <v>214</v>
      </c>
      <c r="L42" s="232"/>
      <c r="M42" s="989">
        <f>(L39*0.15)</f>
        <v>150</v>
      </c>
      <c r="N42" s="234">
        <v>28.062800000000003</v>
      </c>
      <c r="O42" s="234">
        <f t="shared" si="5"/>
        <v>4209.42</v>
      </c>
      <c r="P42" s="243">
        <f>SUM(P41)/L39</f>
        <v>46.262150158730151</v>
      </c>
      <c r="Q42" s="232"/>
      <c r="R42" s="989" t="e">
        <f>(Q39*0.15)</f>
        <v>#REF!</v>
      </c>
      <c r="S42" s="232"/>
      <c r="T42" s="989">
        <f>(S39*0.15)</f>
        <v>0</v>
      </c>
      <c r="U42" s="272">
        <f>(P45/1000)*30</f>
        <v>1.3499999999999999</v>
      </c>
      <c r="V42" s="237">
        <f>((M42*V39)/L39)*1000</f>
        <v>150</v>
      </c>
      <c r="W42" s="260"/>
      <c r="X42" s="260"/>
      <c r="Y42" s="241"/>
      <c r="Z42" s="241"/>
      <c r="AA42" s="241"/>
      <c r="AB42" s="241"/>
      <c r="AC42" s="241"/>
      <c r="AD42" s="241"/>
      <c r="AE42" s="241"/>
      <c r="AF42" s="241"/>
      <c r="AG42" s="241"/>
      <c r="AH42" s="241"/>
      <c r="AI42" s="241"/>
      <c r="AJ42" s="241"/>
    </row>
    <row r="43" spans="1:36" s="213" customFormat="1" ht="18" customHeight="1" outlineLevel="1">
      <c r="B43" s="278" t="s">
        <v>259</v>
      </c>
      <c r="C43" s="278"/>
      <c r="D43" s="278"/>
      <c r="E43" s="278"/>
      <c r="F43" s="278"/>
      <c r="G43" s="267">
        <f>(H43*H39)</f>
        <v>11250</v>
      </c>
      <c r="H43" s="246">
        <f>(M43/L39)*1000000</f>
        <v>375000</v>
      </c>
      <c r="I43" s="230">
        <f>(M43/L39)</f>
        <v>0.375</v>
      </c>
      <c r="J43" s="415" t="s">
        <v>246</v>
      </c>
      <c r="K43" s="672" t="s">
        <v>217</v>
      </c>
      <c r="L43" s="232"/>
      <c r="M43" s="255">
        <f>(L39*0.375)</f>
        <v>375</v>
      </c>
      <c r="N43" s="268">
        <v>1.2</v>
      </c>
      <c r="O43" s="234">
        <f t="shared" si="5"/>
        <v>450</v>
      </c>
      <c r="P43" s="244">
        <f>(P44-P42)/P42</f>
        <v>0.29695657884758675</v>
      </c>
      <c r="Q43" s="232"/>
      <c r="R43" s="255" t="e">
        <f>(Q39*0.375)</f>
        <v>#REF!</v>
      </c>
      <c r="S43" s="232"/>
      <c r="T43" s="255">
        <f>(S39*0.375)</f>
        <v>0</v>
      </c>
      <c r="U43" s="1001">
        <f>(U42*357)</f>
        <v>481.94999999999993</v>
      </c>
      <c r="V43" s="249">
        <f>((M43*V39)/L39)*1000</f>
        <v>375</v>
      </c>
      <c r="W43" s="238"/>
      <c r="X43" s="238"/>
      <c r="Y43" s="260"/>
      <c r="Z43" s="260"/>
      <c r="AA43" s="260"/>
      <c r="AB43" s="260"/>
      <c r="AC43" s="260"/>
      <c r="AD43" s="260"/>
      <c r="AE43" s="260"/>
      <c r="AF43" s="260"/>
      <c r="AG43" s="260"/>
      <c r="AH43" s="260"/>
      <c r="AI43" s="260"/>
      <c r="AJ43" s="260"/>
    </row>
    <row r="44" spans="1:36" s="213" customFormat="1" ht="18" customHeight="1" outlineLevel="1">
      <c r="B44" s="266" t="s">
        <v>261</v>
      </c>
      <c r="C44" s="266"/>
      <c r="D44" s="266"/>
      <c r="E44" s="266"/>
      <c r="F44" s="266"/>
      <c r="G44" s="267">
        <f>(H44*H39)</f>
        <v>1350</v>
      </c>
      <c r="H44" s="246">
        <f>(I44*0.75)*1000000</f>
        <v>45000</v>
      </c>
      <c r="I44" s="230">
        <f>(M44/L39)</f>
        <v>0.06</v>
      </c>
      <c r="J44" s="415" t="s">
        <v>247</v>
      </c>
      <c r="K44" s="672" t="s">
        <v>215</v>
      </c>
      <c r="L44" s="232"/>
      <c r="M44" s="242">
        <f>(L39*0.06)</f>
        <v>60</v>
      </c>
      <c r="N44" s="268">
        <v>124.28571428571429</v>
      </c>
      <c r="O44" s="234">
        <f t="shared" si="5"/>
        <v>7457.1428571428578</v>
      </c>
      <c r="P44" s="1000">
        <v>60</v>
      </c>
      <c r="Q44" s="244">
        <v>0.29695657884758675</v>
      </c>
      <c r="R44" s="242" t="e">
        <f>(Q39*0.06)</f>
        <v>#REF!</v>
      </c>
      <c r="S44" s="232"/>
      <c r="T44" s="242">
        <f>(S39*0.06)</f>
        <v>0</v>
      </c>
      <c r="U44" s="241" t="s">
        <v>564</v>
      </c>
      <c r="V44" s="237">
        <f>((M44*V39)/L39)*1000</f>
        <v>60</v>
      </c>
      <c r="W44" s="238"/>
      <c r="X44" s="238"/>
      <c r="Y44" s="238"/>
      <c r="Z44" s="238"/>
      <c r="AA44" s="238"/>
      <c r="AB44" s="238"/>
      <c r="AC44" s="238"/>
      <c r="AD44" s="238"/>
      <c r="AE44" s="238"/>
      <c r="AF44" s="238"/>
      <c r="AG44" s="238"/>
      <c r="AH44" s="238"/>
      <c r="AI44" s="238"/>
      <c r="AJ44" s="238"/>
    </row>
    <row r="45" spans="1:36" s="213" customFormat="1" ht="18" customHeight="1" outlineLevel="1">
      <c r="B45" s="266" t="s">
        <v>265</v>
      </c>
      <c r="C45" s="266"/>
      <c r="D45" s="266"/>
      <c r="E45" s="266"/>
      <c r="F45" s="266"/>
      <c r="G45" s="267">
        <f>(H45*H39)</f>
        <v>1200</v>
      </c>
      <c r="H45" s="246">
        <f>(M45/L39)*1000000</f>
        <v>40000</v>
      </c>
      <c r="I45" s="230">
        <f>(M45/L39)</f>
        <v>0.04</v>
      </c>
      <c r="J45" s="415" t="s">
        <v>248</v>
      </c>
      <c r="K45" s="673" t="s">
        <v>216</v>
      </c>
      <c r="L45" s="232"/>
      <c r="M45" s="255">
        <f>(L39*0.04)</f>
        <v>40</v>
      </c>
      <c r="N45" s="268">
        <f>37/1.4</f>
        <v>26.428571428571431</v>
      </c>
      <c r="O45" s="234">
        <f t="shared" si="5"/>
        <v>1057.1428571428573</v>
      </c>
      <c r="P45" s="1124">
        <v>45</v>
      </c>
      <c r="Q45" s="244">
        <v>0.48700603770608819</v>
      </c>
      <c r="R45" s="255" t="e">
        <f>(Q39*0.04)</f>
        <v>#REF!</v>
      </c>
      <c r="S45" s="232"/>
      <c r="T45" s="255">
        <f>(S39*0.04)</f>
        <v>0</v>
      </c>
      <c r="U45" s="1008" t="s">
        <v>262</v>
      </c>
      <c r="V45" s="249">
        <f>((M45*V39)/L39)*1000</f>
        <v>40</v>
      </c>
      <c r="W45" s="238"/>
      <c r="X45" s="238"/>
      <c r="Y45" s="260"/>
      <c r="Z45" s="260"/>
      <c r="AA45" s="260"/>
      <c r="AB45" s="260"/>
      <c r="AC45" s="260"/>
      <c r="AD45" s="260"/>
      <c r="AE45" s="260"/>
      <c r="AF45" s="260"/>
      <c r="AG45" s="260"/>
      <c r="AH45" s="260"/>
      <c r="AI45" s="260"/>
      <c r="AJ45" s="260"/>
    </row>
    <row r="46" spans="1:36" s="213" customFormat="1" ht="18" customHeight="1" outlineLevel="1">
      <c r="B46" s="203"/>
      <c r="I46" s="250"/>
      <c r="J46" s="415" t="s">
        <v>251</v>
      </c>
      <c r="K46" s="672" t="s">
        <v>204</v>
      </c>
      <c r="L46" s="232"/>
      <c r="M46" s="247">
        <f>L39-((M40+M43+(M41/2)+(M42/2)+(M44/2)+(M45/8)))</f>
        <v>2.5</v>
      </c>
      <c r="N46" s="234"/>
      <c r="O46" s="234">
        <f t="shared" si="5"/>
        <v>0</v>
      </c>
      <c r="P46" s="256">
        <v>40</v>
      </c>
      <c r="Q46" s="244">
        <v>0.32178314462763397</v>
      </c>
      <c r="R46" s="247" t="e">
        <f>Q39-((R40+R43+(R41/2)+(R42/2)+(R44/2)+(R45/8)))</f>
        <v>#REF!</v>
      </c>
      <c r="S46" s="232"/>
      <c r="T46" s="247">
        <f>S39-((T40+T43+(T41/2)+(T42/2)+(T44/2)+(T45/8)))</f>
        <v>0</v>
      </c>
      <c r="U46" s="272">
        <f>(P45/1000)*15</f>
        <v>0.67499999999999993</v>
      </c>
      <c r="W46" s="262"/>
      <c r="X46" s="262"/>
      <c r="Y46" s="262"/>
      <c r="Z46" s="262"/>
      <c r="AA46" s="262"/>
      <c r="AB46" s="262"/>
      <c r="AC46" s="262"/>
      <c r="AD46" s="262"/>
      <c r="AE46" s="262"/>
      <c r="AF46" s="262"/>
      <c r="AG46" s="262"/>
      <c r="AH46" s="262"/>
      <c r="AI46" s="262"/>
      <c r="AJ46" s="262"/>
    </row>
    <row r="47" spans="1:36" s="213" customFormat="1" ht="18" customHeight="1" outlineLevel="1">
      <c r="B47" s="203"/>
      <c r="E47" s="213" t="s">
        <v>574</v>
      </c>
      <c r="G47" s="438"/>
      <c r="I47" s="250"/>
      <c r="J47" s="415" t="s">
        <v>252</v>
      </c>
      <c r="K47" s="672" t="s">
        <v>692</v>
      </c>
      <c r="L47" s="232"/>
      <c r="M47" s="988">
        <f>(L39/20)</f>
        <v>50</v>
      </c>
      <c r="N47" s="234">
        <v>131.07999999999998</v>
      </c>
      <c r="O47" s="234">
        <f t="shared" si="5"/>
        <v>6553.9999999999991</v>
      </c>
      <c r="P47" s="275"/>
      <c r="Q47" s="232"/>
      <c r="R47" s="988" t="e">
        <f>(Q39/20)</f>
        <v>#REF!</v>
      </c>
      <c r="S47" s="232"/>
      <c r="T47" s="988">
        <f>(S39/20)</f>
        <v>0</v>
      </c>
      <c r="U47" s="1001">
        <f>(U46*357)</f>
        <v>240.97499999999997</v>
      </c>
      <c r="W47" s="203"/>
      <c r="X47" s="203"/>
      <c r="Y47" s="253"/>
      <c r="Z47" s="253"/>
      <c r="AA47" s="253"/>
      <c r="AB47" s="253"/>
      <c r="AC47" s="253"/>
      <c r="AD47" s="253"/>
      <c r="AE47" s="253"/>
      <c r="AF47" s="253"/>
      <c r="AG47" s="253"/>
      <c r="AH47" s="253"/>
      <c r="AI47" s="253"/>
      <c r="AJ47" s="253"/>
    </row>
    <row r="48" spans="1:36" s="213" customFormat="1" ht="18" customHeight="1" outlineLevel="1">
      <c r="B48" s="203"/>
      <c r="G48" s="438"/>
      <c r="I48" s="250"/>
      <c r="J48" s="415">
        <v>1.9</v>
      </c>
      <c r="K48" s="672" t="s">
        <v>689</v>
      </c>
      <c r="L48" s="232"/>
      <c r="M48" s="1113">
        <f>(L39/20)</f>
        <v>50</v>
      </c>
      <c r="N48" s="234">
        <v>15</v>
      </c>
      <c r="O48" s="234">
        <f t="shared" si="5"/>
        <v>750</v>
      </c>
      <c r="P48" s="275"/>
      <c r="Q48" s="232"/>
      <c r="R48" s="997"/>
      <c r="S48" s="232"/>
      <c r="T48" s="997"/>
      <c r="U48" s="203"/>
      <c r="W48" s="203"/>
      <c r="X48" s="203"/>
      <c r="Y48" s="253"/>
      <c r="Z48" s="253"/>
      <c r="AA48" s="253"/>
      <c r="AB48" s="253"/>
      <c r="AC48" s="253"/>
      <c r="AD48" s="253"/>
      <c r="AE48" s="253"/>
      <c r="AF48" s="253"/>
      <c r="AG48" s="253"/>
      <c r="AH48" s="253"/>
      <c r="AI48" s="253"/>
      <c r="AJ48" s="253"/>
    </row>
    <row r="49" spans="1:36" s="213" customFormat="1" ht="18" customHeight="1" outlineLevel="1">
      <c r="B49" s="203"/>
      <c r="G49" s="438"/>
      <c r="I49" s="250"/>
      <c r="J49" s="998">
        <v>1.1000000000000001</v>
      </c>
      <c r="K49" s="672" t="s">
        <v>690</v>
      </c>
      <c r="L49" s="232"/>
      <c r="M49" s="1125">
        <f>(L39)</f>
        <v>1000</v>
      </c>
      <c r="N49" s="234">
        <f>((19000*1.16)+(4500*17.5))/45000</f>
        <v>2.2397777777777779</v>
      </c>
      <c r="O49" s="234">
        <f t="shared" si="5"/>
        <v>2239.7777777777778</v>
      </c>
      <c r="P49" s="275"/>
      <c r="Q49" s="232"/>
      <c r="R49" s="1113"/>
      <c r="S49" s="232"/>
      <c r="T49" s="1113"/>
      <c r="U49" s="203"/>
      <c r="W49" s="203"/>
      <c r="X49" s="203"/>
      <c r="Y49" s="253"/>
      <c r="Z49" s="253"/>
      <c r="AA49" s="253"/>
      <c r="AB49" s="253"/>
      <c r="AC49" s="253"/>
      <c r="AD49" s="253"/>
      <c r="AE49" s="253"/>
      <c r="AF49" s="253"/>
      <c r="AG49" s="253"/>
      <c r="AH49" s="253"/>
      <c r="AI49" s="253"/>
      <c r="AJ49" s="253"/>
    </row>
    <row r="50" spans="1:36" s="213" customFormat="1" ht="18" customHeight="1" outlineLevel="1">
      <c r="B50" s="203"/>
      <c r="G50" s="438"/>
      <c r="I50" s="250"/>
      <c r="J50" s="998">
        <v>1.1100000000000001</v>
      </c>
      <c r="K50" s="672" t="s">
        <v>801</v>
      </c>
      <c r="L50" s="232"/>
      <c r="M50" s="1113">
        <f>(L39/20)</f>
        <v>50</v>
      </c>
      <c r="N50" s="234">
        <f>(16*20)</f>
        <v>320</v>
      </c>
      <c r="O50" s="234">
        <f t="shared" si="5"/>
        <v>16000</v>
      </c>
      <c r="P50" s="275"/>
      <c r="Q50" s="232"/>
      <c r="R50" s="997"/>
      <c r="S50" s="232"/>
      <c r="T50" s="997"/>
      <c r="U50" s="203"/>
      <c r="W50" s="203"/>
      <c r="X50" s="203"/>
      <c r="Y50" s="253"/>
      <c r="Z50" s="253"/>
      <c r="AA50" s="253"/>
      <c r="AB50" s="253"/>
      <c r="AC50" s="253"/>
      <c r="AD50" s="253"/>
      <c r="AE50" s="253"/>
      <c r="AF50" s="253"/>
      <c r="AG50" s="253"/>
      <c r="AH50" s="253"/>
      <c r="AI50" s="253"/>
      <c r="AJ50" s="253"/>
    </row>
    <row r="51" spans="1:36" s="213" customFormat="1" ht="18" customHeight="1">
      <c r="B51" s="263" t="s">
        <v>58</v>
      </c>
      <c r="C51" s="301"/>
      <c r="D51" s="301"/>
      <c r="E51" s="301"/>
      <c r="F51" s="301"/>
      <c r="G51" s="219" t="s">
        <v>263</v>
      </c>
      <c r="H51" s="264">
        <f>30/1000</f>
        <v>0.03</v>
      </c>
      <c r="I51" s="203"/>
      <c r="J51" s="661" t="s">
        <v>264</v>
      </c>
      <c r="K51" s="666" t="s">
        <v>691</v>
      </c>
      <c r="L51" s="663">
        <v>1000</v>
      </c>
      <c r="M51" s="664" t="s">
        <v>242</v>
      </c>
      <c r="N51" s="665"/>
      <c r="O51" s="220"/>
      <c r="P51" s="221">
        <f>SUM(O52:O61)</f>
        <v>12601.952380952382</v>
      </c>
      <c r="Q51" s="222" t="e">
        <f>(#REF!)</f>
        <v>#REF!</v>
      </c>
      <c r="R51" s="223" t="s">
        <v>242</v>
      </c>
      <c r="S51" s="254"/>
      <c r="T51" s="225"/>
      <c r="U51" s="226">
        <f>(P51/L51)</f>
        <v>12.601952380952381</v>
      </c>
      <c r="V51" s="227">
        <v>700</v>
      </c>
      <c r="W51" s="238"/>
      <c r="X51" s="238"/>
      <c r="Y51" s="228"/>
      <c r="Z51" s="228"/>
      <c r="AA51" s="228"/>
      <c r="AB51" s="228"/>
      <c r="AC51" s="228"/>
      <c r="AD51" s="228"/>
      <c r="AE51" s="228"/>
      <c r="AF51" s="228"/>
      <c r="AG51" s="228"/>
      <c r="AH51" s="228"/>
      <c r="AI51" s="228"/>
      <c r="AJ51" s="228"/>
    </row>
    <row r="52" spans="1:36" s="213" customFormat="1" ht="18" customHeight="1" outlineLevel="1">
      <c r="B52" s="266" t="s">
        <v>256</v>
      </c>
      <c r="C52" s="266"/>
      <c r="D52" s="266"/>
      <c r="E52" s="266"/>
      <c r="F52" s="266"/>
      <c r="G52" s="267">
        <f>(H52*H51)</f>
        <v>15000</v>
      </c>
      <c r="H52" s="246">
        <f>((M52)/L51)*1000000</f>
        <v>500000</v>
      </c>
      <c r="I52" s="230">
        <f>(M52/L51)</f>
        <v>0.5</v>
      </c>
      <c r="J52" s="415" t="s">
        <v>243</v>
      </c>
      <c r="K52" s="672" t="s">
        <v>218</v>
      </c>
      <c r="L52" s="232"/>
      <c r="M52" s="255">
        <f>(L51*0.5)</f>
        <v>500</v>
      </c>
      <c r="N52" s="268">
        <v>1</v>
      </c>
      <c r="O52" s="234">
        <f t="shared" ref="O52:O61" si="6">(M52*N52)</f>
        <v>500</v>
      </c>
      <c r="P52" s="416">
        <f>((18.5/3)*L51)</f>
        <v>6166.666666666667</v>
      </c>
      <c r="Q52" s="269"/>
      <c r="R52" s="255" t="e">
        <f>(Q51*0.5)</f>
        <v>#REF!</v>
      </c>
      <c r="S52" s="269"/>
      <c r="T52" s="255">
        <f>(S51*0.5)</f>
        <v>0</v>
      </c>
      <c r="U52" s="241"/>
      <c r="V52" s="249">
        <f>((M52*V51)/L51)*1000</f>
        <v>350000</v>
      </c>
      <c r="W52" s="238"/>
      <c r="X52" s="238"/>
      <c r="Y52" s="238"/>
      <c r="Z52" s="238"/>
      <c r="AA52" s="238"/>
      <c r="AB52" s="238"/>
      <c r="AC52" s="238"/>
      <c r="AD52" s="238"/>
      <c r="AE52" s="238"/>
      <c r="AF52" s="238"/>
      <c r="AG52" s="238"/>
      <c r="AH52" s="238"/>
      <c r="AI52" s="238"/>
      <c r="AJ52" s="238"/>
    </row>
    <row r="53" spans="1:36" s="213" customFormat="1" ht="18" customHeight="1" outlineLevel="1">
      <c r="B53" s="266" t="s">
        <v>257</v>
      </c>
      <c r="C53" s="266"/>
      <c r="D53" s="266"/>
      <c r="E53" s="266"/>
      <c r="F53" s="266"/>
      <c r="G53" s="267">
        <f>(H53*H51)</f>
        <v>750</v>
      </c>
      <c r="H53" s="246">
        <f>(M53/L51)*1000000</f>
        <v>25000</v>
      </c>
      <c r="I53" s="230">
        <f>(M53/L51)</f>
        <v>2.5000000000000001E-2</v>
      </c>
      <c r="J53" s="415" t="s">
        <v>244</v>
      </c>
      <c r="K53" s="672" t="s">
        <v>208</v>
      </c>
      <c r="L53" s="232"/>
      <c r="M53" s="242">
        <f>(L51*0.025)</f>
        <v>25</v>
      </c>
      <c r="N53" s="234">
        <v>35.119999999999997</v>
      </c>
      <c r="O53" s="234">
        <f t="shared" si="6"/>
        <v>877.99999999999989</v>
      </c>
      <c r="P53" s="417">
        <f>SUM(P51:P52)</f>
        <v>18768.61904761905</v>
      </c>
      <c r="Q53" s="232"/>
      <c r="R53" s="242" t="e">
        <f>(Q51*0.025)</f>
        <v>#REF!</v>
      </c>
      <c r="S53" s="232"/>
      <c r="T53" s="242">
        <f>(S51*0.025)</f>
        <v>0</v>
      </c>
      <c r="U53" s="1008"/>
      <c r="V53" s="237">
        <f>((M53*V51)/L51)*1000</f>
        <v>17500</v>
      </c>
      <c r="W53" s="241"/>
      <c r="X53" s="241"/>
      <c r="Y53" s="238"/>
      <c r="Z53" s="238"/>
      <c r="AA53" s="238"/>
      <c r="AB53" s="238"/>
      <c r="AC53" s="238"/>
      <c r="AD53" s="238"/>
      <c r="AE53" s="238"/>
      <c r="AF53" s="238"/>
      <c r="AG53" s="238"/>
      <c r="AH53" s="238"/>
      <c r="AI53" s="238"/>
      <c r="AJ53" s="238"/>
    </row>
    <row r="54" spans="1:36" s="213" customFormat="1" ht="18" customHeight="1" outlineLevel="1">
      <c r="B54" s="278" t="s">
        <v>259</v>
      </c>
      <c r="C54" s="278"/>
      <c r="D54" s="278"/>
      <c r="E54" s="278"/>
      <c r="F54" s="278"/>
      <c r="G54" s="267">
        <f>(H54*H51)</f>
        <v>11250</v>
      </c>
      <c r="H54" s="246">
        <f>(M54/L51)*1000000</f>
        <v>375000</v>
      </c>
      <c r="I54" s="230">
        <f>(M54/L51)</f>
        <v>0.375</v>
      </c>
      <c r="J54" s="415" t="s">
        <v>246</v>
      </c>
      <c r="K54" s="672" t="s">
        <v>217</v>
      </c>
      <c r="L54" s="232"/>
      <c r="M54" s="255">
        <f>(L51*0.375)</f>
        <v>375</v>
      </c>
      <c r="N54" s="268">
        <v>1.2</v>
      </c>
      <c r="O54" s="234">
        <f t="shared" si="6"/>
        <v>450</v>
      </c>
      <c r="P54" s="243">
        <f>SUM(P53)/L51</f>
        <v>18.768619047619051</v>
      </c>
      <c r="Q54" s="232"/>
      <c r="R54" s="1252" t="e">
        <f>(Q51*0.15)</f>
        <v>#REF!</v>
      </c>
      <c r="S54" s="232"/>
      <c r="T54" s="1252">
        <f>(S51*0.15)</f>
        <v>0</v>
      </c>
      <c r="U54" s="272">
        <f>(P56*15)/357</f>
        <v>0.92436974789915971</v>
      </c>
      <c r="V54" s="249">
        <f>((M54*V51)/L51)*1000</f>
        <v>262500</v>
      </c>
      <c r="W54" s="238"/>
      <c r="X54" s="238"/>
      <c r="Y54" s="260"/>
      <c r="Z54" s="260"/>
      <c r="AA54" s="260"/>
      <c r="AB54" s="260"/>
      <c r="AC54" s="260"/>
      <c r="AD54" s="260"/>
      <c r="AE54" s="260"/>
      <c r="AF54" s="260"/>
      <c r="AG54" s="260"/>
      <c r="AH54" s="260"/>
      <c r="AI54" s="260"/>
      <c r="AJ54" s="260"/>
    </row>
    <row r="55" spans="1:36" s="213" customFormat="1" ht="18" customHeight="1" outlineLevel="1">
      <c r="B55" s="266" t="s">
        <v>261</v>
      </c>
      <c r="C55" s="266"/>
      <c r="D55" s="266"/>
      <c r="E55" s="266"/>
      <c r="F55" s="266"/>
      <c r="G55" s="267">
        <f>(H55*H51)</f>
        <v>1350</v>
      </c>
      <c r="H55" s="246">
        <f>(I55*0.75)*1000000</f>
        <v>45000</v>
      </c>
      <c r="I55" s="230">
        <f>(M55/L51)</f>
        <v>0.06</v>
      </c>
      <c r="J55" s="415" t="s">
        <v>247</v>
      </c>
      <c r="K55" s="672" t="s">
        <v>215</v>
      </c>
      <c r="L55" s="232"/>
      <c r="M55" s="242">
        <f>(L51*0.06)</f>
        <v>60</v>
      </c>
      <c r="N55" s="268">
        <v>124.28571428571429</v>
      </c>
      <c r="O55" s="234">
        <f t="shared" si="6"/>
        <v>7457.1428571428578</v>
      </c>
      <c r="P55" s="244">
        <f>(P56-P54)/P54</f>
        <v>0.17216935056236199</v>
      </c>
      <c r="Q55" s="232"/>
      <c r="R55" s="255" t="e">
        <f>(Q51*0.375)</f>
        <v>#REF!</v>
      </c>
      <c r="S55" s="232"/>
      <c r="T55" s="255">
        <f>(S51*0.375)</f>
        <v>0</v>
      </c>
      <c r="U55" s="1001">
        <f>(U54*357)</f>
        <v>330</v>
      </c>
      <c r="V55" s="237">
        <f>((M55*V51)/L51)*1000</f>
        <v>42000</v>
      </c>
      <c r="W55" s="238"/>
      <c r="X55" s="238"/>
      <c r="Y55" s="238"/>
      <c r="Z55" s="238"/>
      <c r="AA55" s="238"/>
      <c r="AB55" s="238"/>
      <c r="AC55" s="238"/>
      <c r="AD55" s="238"/>
      <c r="AE55" s="238"/>
      <c r="AF55" s="238"/>
      <c r="AG55" s="238"/>
      <c r="AH55" s="238"/>
      <c r="AI55" s="238"/>
      <c r="AJ55" s="238"/>
    </row>
    <row r="56" spans="1:36" s="213" customFormat="1" ht="18" customHeight="1" outlineLevel="1">
      <c r="B56" s="266" t="s">
        <v>265</v>
      </c>
      <c r="C56" s="266"/>
      <c r="D56" s="266"/>
      <c r="E56" s="266"/>
      <c r="F56" s="266"/>
      <c r="G56" s="267">
        <f>(H56*H51)</f>
        <v>1200</v>
      </c>
      <c r="H56" s="246">
        <f>(M56/L51)*1000000</f>
        <v>40000</v>
      </c>
      <c r="I56" s="230">
        <f>(M56/L51)</f>
        <v>0.04</v>
      </c>
      <c r="J56" s="415" t="s">
        <v>248</v>
      </c>
      <c r="K56" s="673" t="s">
        <v>216</v>
      </c>
      <c r="L56" s="232"/>
      <c r="M56" s="255">
        <f>(L51*0.04)</f>
        <v>40</v>
      </c>
      <c r="N56" s="268">
        <f>37/1.4</f>
        <v>26.428571428571431</v>
      </c>
      <c r="O56" s="234">
        <f t="shared" si="6"/>
        <v>1057.1428571428573</v>
      </c>
      <c r="P56" s="1000">
        <v>22</v>
      </c>
      <c r="Q56" s="244">
        <v>0.29657108399516768</v>
      </c>
      <c r="R56" s="242" t="e">
        <f>(Q51*0.06)</f>
        <v>#REF!</v>
      </c>
      <c r="S56" s="232"/>
      <c r="T56" s="242">
        <f>(S51*0.06)</f>
        <v>0</v>
      </c>
      <c r="U56" s="203"/>
      <c r="V56" s="249">
        <f>((M56*V51)/L51)*1000</f>
        <v>28000</v>
      </c>
      <c r="W56" s="238"/>
      <c r="X56" s="238"/>
      <c r="Y56" s="260"/>
      <c r="Z56" s="260"/>
      <c r="AA56" s="260"/>
      <c r="AB56" s="260"/>
      <c r="AC56" s="260"/>
      <c r="AD56" s="260"/>
      <c r="AE56" s="260"/>
      <c r="AF56" s="260"/>
      <c r="AG56" s="260"/>
      <c r="AH56" s="260"/>
      <c r="AI56" s="260"/>
      <c r="AJ56" s="260"/>
    </row>
    <row r="57" spans="1:36" s="213" customFormat="1" ht="18" customHeight="1" outlineLevel="1">
      <c r="B57" s="203"/>
      <c r="I57" s="250"/>
      <c r="J57" s="415" t="s">
        <v>251</v>
      </c>
      <c r="K57" s="672" t="s">
        <v>204</v>
      </c>
      <c r="L57" s="232"/>
      <c r="M57" s="247">
        <f>L51-((M52+M54+(M53/2)+(M55/2)+(M56/8)))</f>
        <v>77.5</v>
      </c>
      <c r="N57" s="234"/>
      <c r="O57" s="234">
        <f t="shared" si="6"/>
        <v>0</v>
      </c>
      <c r="P57" s="1254"/>
      <c r="Q57" s="244"/>
      <c r="R57" s="255" t="e">
        <f>(Q51*0.04)</f>
        <v>#REF!</v>
      </c>
      <c r="S57" s="232"/>
      <c r="T57" s="255">
        <f>(S51*0.04)</f>
        <v>0</v>
      </c>
      <c r="U57" s="203"/>
      <c r="W57" s="262"/>
      <c r="X57" s="262"/>
      <c r="Y57" s="262"/>
      <c r="Z57" s="262"/>
      <c r="AA57" s="262"/>
      <c r="AB57" s="262"/>
      <c r="AC57" s="262"/>
      <c r="AD57" s="262"/>
      <c r="AE57" s="262"/>
      <c r="AF57" s="262"/>
      <c r="AG57" s="262"/>
      <c r="AH57" s="262"/>
      <c r="AI57" s="262"/>
      <c r="AJ57" s="262"/>
    </row>
    <row r="58" spans="1:36" s="213" customFormat="1" ht="18" customHeight="1" outlineLevel="1">
      <c r="B58" s="203"/>
      <c r="E58" s="213" t="s">
        <v>574</v>
      </c>
      <c r="G58" s="438"/>
      <c r="I58" s="250"/>
      <c r="J58" s="415" t="s">
        <v>252</v>
      </c>
      <c r="K58" s="672" t="s">
        <v>692</v>
      </c>
      <c r="L58" s="232"/>
      <c r="M58" s="1253">
        <f>(L51/20)</f>
        <v>50</v>
      </c>
      <c r="N58" s="234">
        <f>131.08/3</f>
        <v>43.693333333333335</v>
      </c>
      <c r="O58" s="234">
        <f t="shared" si="6"/>
        <v>2184.666666666667</v>
      </c>
      <c r="P58" s="1254"/>
      <c r="Q58" s="244"/>
      <c r="R58" s="247" t="e">
        <f>Q51-((R52+R55+(R53/2)+(R54/2)+(R56/2)+(R57/8)))</f>
        <v>#REF!</v>
      </c>
      <c r="S58" s="232"/>
      <c r="T58" s="247">
        <f>S51-((T52+T55+(T53/2)+(T54/2)+(T56/2)+(T57/8)))</f>
        <v>0</v>
      </c>
      <c r="U58" s="203"/>
      <c r="W58" s="203"/>
      <c r="X58" s="203"/>
      <c r="Y58" s="253"/>
      <c r="Z58" s="253"/>
      <c r="AA58" s="253"/>
      <c r="AB58" s="253"/>
      <c r="AC58" s="253"/>
      <c r="AD58" s="253"/>
      <c r="AE58" s="253"/>
      <c r="AF58" s="253"/>
      <c r="AG58" s="253"/>
      <c r="AH58" s="253"/>
      <c r="AI58" s="253"/>
      <c r="AJ58" s="253"/>
    </row>
    <row r="59" spans="1:36" s="213" customFormat="1" ht="18" customHeight="1" outlineLevel="1">
      <c r="B59" s="203"/>
      <c r="G59" s="438"/>
      <c r="I59" s="250"/>
      <c r="J59" s="415">
        <v>1.9</v>
      </c>
      <c r="K59" s="672" t="s">
        <v>689</v>
      </c>
      <c r="L59" s="232"/>
      <c r="M59" s="1253">
        <f>(L51/20)</f>
        <v>50</v>
      </c>
      <c r="N59" s="234">
        <f>15/10</f>
        <v>1.5</v>
      </c>
      <c r="O59" s="234">
        <f t="shared" si="6"/>
        <v>75</v>
      </c>
      <c r="P59" s="275"/>
      <c r="Q59" s="232"/>
      <c r="R59" s="1253" t="e">
        <f>(Q51/20)</f>
        <v>#REF!</v>
      </c>
      <c r="S59" s="232"/>
      <c r="T59" s="1253">
        <f>(S51/20)</f>
        <v>0</v>
      </c>
      <c r="U59" s="203"/>
      <c r="W59" s="203"/>
      <c r="X59" s="203"/>
      <c r="Y59" s="253"/>
      <c r="Z59" s="253"/>
      <c r="AA59" s="253"/>
      <c r="AB59" s="253"/>
      <c r="AC59" s="253"/>
      <c r="AD59" s="253"/>
      <c r="AE59" s="253"/>
      <c r="AF59" s="253"/>
      <c r="AG59" s="253"/>
      <c r="AH59" s="253"/>
      <c r="AI59" s="253"/>
      <c r="AJ59" s="253"/>
    </row>
    <row r="60" spans="1:36" s="213" customFormat="1" ht="18" customHeight="1" outlineLevel="1">
      <c r="B60" s="203"/>
      <c r="G60" s="438"/>
      <c r="I60" s="250"/>
      <c r="J60" s="998">
        <v>1.1000000000000001</v>
      </c>
      <c r="K60" s="672" t="s">
        <v>690</v>
      </c>
      <c r="L60" s="232"/>
      <c r="M60" s="1125"/>
      <c r="N60" s="234">
        <f>((19000*1.16)+(4500*17.5))/45000</f>
        <v>2.2397777777777779</v>
      </c>
      <c r="O60" s="234">
        <f t="shared" si="6"/>
        <v>0</v>
      </c>
      <c r="P60" s="275"/>
      <c r="Q60" s="232"/>
      <c r="R60" s="1253"/>
      <c r="S60" s="232"/>
      <c r="T60" s="1253"/>
      <c r="U60" s="203"/>
      <c r="W60" s="203"/>
      <c r="X60" s="203"/>
      <c r="Y60" s="253"/>
      <c r="Z60" s="253"/>
      <c r="AA60" s="253"/>
      <c r="AB60" s="253"/>
      <c r="AC60" s="253"/>
      <c r="AD60" s="253"/>
      <c r="AE60" s="253"/>
      <c r="AF60" s="253"/>
      <c r="AG60" s="253"/>
      <c r="AH60" s="253"/>
      <c r="AI60" s="253"/>
      <c r="AJ60" s="253"/>
    </row>
    <row r="61" spans="1:36" s="213" customFormat="1" ht="18" customHeight="1" outlineLevel="1">
      <c r="B61" s="203"/>
      <c r="G61" s="438"/>
      <c r="I61" s="250"/>
      <c r="J61" s="998">
        <v>1.1100000000000001</v>
      </c>
      <c r="K61" s="672" t="s">
        <v>801</v>
      </c>
      <c r="L61" s="232"/>
      <c r="M61" s="1253"/>
      <c r="N61" s="234">
        <f>(16*20)</f>
        <v>320</v>
      </c>
      <c r="O61" s="234">
        <f t="shared" si="6"/>
        <v>0</v>
      </c>
      <c r="P61" s="275"/>
      <c r="Q61" s="232"/>
      <c r="R61" s="1253"/>
      <c r="S61" s="232"/>
      <c r="T61" s="1253"/>
      <c r="U61" s="203"/>
      <c r="W61" s="203"/>
      <c r="X61" s="203"/>
      <c r="Y61" s="253"/>
      <c r="Z61" s="253"/>
      <c r="AA61" s="253"/>
      <c r="AB61" s="253"/>
      <c r="AC61" s="253"/>
      <c r="AD61" s="253"/>
      <c r="AE61" s="253"/>
      <c r="AF61" s="253"/>
      <c r="AG61" s="253"/>
      <c r="AH61" s="253"/>
      <c r="AI61" s="253"/>
      <c r="AJ61" s="253"/>
    </row>
    <row r="62" spans="1:36" s="276" customFormat="1">
      <c r="A62" s="273"/>
      <c r="K62" s="283"/>
    </row>
    <row r="63" spans="1:36" s="276" customFormat="1">
      <c r="A63" s="273"/>
      <c r="K63" s="283"/>
    </row>
    <row r="64" spans="1:36" s="276" customFormat="1">
      <c r="A64" s="273"/>
      <c r="K64" s="283"/>
    </row>
    <row r="65" spans="1:11" s="276" customFormat="1">
      <c r="A65" s="273"/>
      <c r="K65" s="283"/>
    </row>
    <row r="66" spans="1:11" s="276" customFormat="1">
      <c r="A66" s="273"/>
      <c r="K66" s="283"/>
    </row>
    <row r="67" spans="1:11" s="276" customFormat="1">
      <c r="A67" s="273"/>
      <c r="K67" s="283"/>
    </row>
    <row r="68" spans="1:11" s="276" customFormat="1">
      <c r="A68" s="273"/>
      <c r="K68" s="283"/>
    </row>
    <row r="69" spans="1:11" s="276" customFormat="1">
      <c r="A69" s="273"/>
      <c r="K69" s="283"/>
    </row>
    <row r="70" spans="1:11" s="276" customFormat="1">
      <c r="A70" s="273"/>
      <c r="K70" s="283"/>
    </row>
    <row r="71" spans="1:11" s="276" customFormat="1">
      <c r="A71" s="273"/>
      <c r="K71" s="283"/>
    </row>
    <row r="72" spans="1:11" s="276" customFormat="1">
      <c r="A72" s="273"/>
      <c r="K72" s="283"/>
    </row>
    <row r="73" spans="1:11" s="276" customFormat="1">
      <c r="A73" s="273"/>
      <c r="K73" s="283"/>
    </row>
    <row r="74" spans="1:11" s="276" customFormat="1">
      <c r="A74" s="273"/>
      <c r="K74" s="283"/>
    </row>
    <row r="75" spans="1:11" s="276" customFormat="1">
      <c r="A75" s="273"/>
      <c r="K75" s="283"/>
    </row>
    <row r="76" spans="1:11" s="276" customFormat="1">
      <c r="A76" s="273"/>
      <c r="K76" s="283"/>
    </row>
    <row r="77" spans="1:11" s="276" customFormat="1">
      <c r="A77" s="273"/>
      <c r="K77" s="283"/>
    </row>
    <row r="78" spans="1:11" s="276" customFormat="1">
      <c r="A78" s="273"/>
      <c r="K78" s="283"/>
    </row>
    <row r="79" spans="1:11" s="276" customFormat="1">
      <c r="A79" s="273"/>
      <c r="K79" s="283"/>
    </row>
    <row r="80" spans="1:11" s="276" customFormat="1">
      <c r="A80" s="273"/>
      <c r="K80" s="283"/>
    </row>
    <row r="81" spans="1:11" s="276" customFormat="1">
      <c r="A81" s="273"/>
      <c r="K81" s="283"/>
    </row>
    <row r="82" spans="1:11" s="276" customFormat="1">
      <c r="A82" s="273"/>
      <c r="K82" s="283"/>
    </row>
    <row r="83" spans="1:11" s="276" customFormat="1">
      <c r="A83" s="273"/>
      <c r="K83" s="283"/>
    </row>
    <row r="84" spans="1:11" s="276" customFormat="1">
      <c r="A84" s="273"/>
      <c r="K84" s="283"/>
    </row>
    <row r="85" spans="1:11" s="276" customFormat="1">
      <c r="A85" s="273"/>
      <c r="K85" s="283"/>
    </row>
    <row r="86" spans="1:11" s="276" customFormat="1">
      <c r="A86" s="273"/>
      <c r="K86" s="283"/>
    </row>
    <row r="87" spans="1:11" s="276" customFormat="1">
      <c r="A87" s="273"/>
      <c r="K87" s="283"/>
    </row>
    <row r="88" spans="1:11" s="276" customFormat="1">
      <c r="A88" s="273"/>
      <c r="K88" s="283"/>
    </row>
    <row r="89" spans="1:11" s="276" customFormat="1">
      <c r="A89" s="273"/>
      <c r="K89" s="283"/>
    </row>
    <row r="90" spans="1:11" s="276" customFormat="1">
      <c r="A90" s="273"/>
      <c r="K90" s="283"/>
    </row>
    <row r="91" spans="1:11" s="276" customFormat="1">
      <c r="A91" s="273"/>
      <c r="K91" s="283"/>
    </row>
    <row r="92" spans="1:11" s="276" customFormat="1">
      <c r="A92" s="273"/>
      <c r="K92" s="283"/>
    </row>
    <row r="93" spans="1:11" s="276" customFormat="1">
      <c r="A93" s="273"/>
      <c r="K93" s="283"/>
    </row>
    <row r="94" spans="1:11" s="276" customFormat="1">
      <c r="A94" s="273"/>
      <c r="K94" s="283"/>
    </row>
    <row r="95" spans="1:11" s="276" customFormat="1">
      <c r="A95" s="273"/>
      <c r="K95" s="283"/>
    </row>
    <row r="96" spans="1:11" s="276" customFormat="1">
      <c r="A96" s="273"/>
      <c r="K96" s="283"/>
    </row>
    <row r="97" spans="1:11" s="276" customFormat="1">
      <c r="A97" s="273"/>
      <c r="K97" s="283"/>
    </row>
    <row r="98" spans="1:11" s="276" customFormat="1">
      <c r="A98" s="273"/>
      <c r="K98" s="283"/>
    </row>
    <row r="99" spans="1:11" s="276" customFormat="1">
      <c r="A99" s="273"/>
      <c r="K99" s="283"/>
    </row>
    <row r="100" spans="1:11" s="276" customFormat="1">
      <c r="A100" s="273"/>
      <c r="K100" s="283"/>
    </row>
    <row r="101" spans="1:11" s="276" customFormat="1">
      <c r="A101" s="273"/>
      <c r="K101" s="283"/>
    </row>
    <row r="102" spans="1:11" s="276" customFormat="1">
      <c r="A102" s="273"/>
      <c r="K102" s="283"/>
    </row>
    <row r="103" spans="1:11" s="276" customFormat="1">
      <c r="A103" s="273"/>
      <c r="K103" s="283"/>
    </row>
    <row r="104" spans="1:11" s="276" customFormat="1">
      <c r="A104" s="273"/>
      <c r="K104" s="283"/>
    </row>
    <row r="105" spans="1:11" s="276" customFormat="1">
      <c r="A105" s="273"/>
      <c r="K105" s="283"/>
    </row>
    <row r="106" spans="1:11" s="276" customFormat="1">
      <c r="A106" s="273"/>
      <c r="K106" s="283"/>
    </row>
    <row r="107" spans="1:11" s="276" customFormat="1">
      <c r="A107" s="273"/>
      <c r="K107" s="283"/>
    </row>
    <row r="108" spans="1:11" s="276" customFormat="1">
      <c r="A108" s="273"/>
      <c r="K108" s="283"/>
    </row>
    <row r="109" spans="1:11" s="276" customFormat="1">
      <c r="A109" s="273"/>
      <c r="K109" s="283"/>
    </row>
    <row r="110" spans="1:11" s="276" customFormat="1">
      <c r="A110" s="273"/>
      <c r="K110" s="283"/>
    </row>
    <row r="111" spans="1:11" s="276" customFormat="1">
      <c r="A111" s="273"/>
      <c r="K111" s="283"/>
    </row>
    <row r="112" spans="1:11" s="276" customFormat="1">
      <c r="A112" s="273"/>
      <c r="K112" s="283"/>
    </row>
    <row r="113" spans="1:11" s="276" customFormat="1">
      <c r="A113" s="273"/>
      <c r="K113" s="283"/>
    </row>
    <row r="114" spans="1:11" s="276" customFormat="1">
      <c r="A114" s="273"/>
      <c r="K114" s="283"/>
    </row>
    <row r="115" spans="1:11" s="276" customFormat="1">
      <c r="A115" s="273"/>
      <c r="K115" s="283"/>
    </row>
    <row r="116" spans="1:11" s="276" customFormat="1">
      <c r="A116" s="273"/>
      <c r="K116" s="283"/>
    </row>
    <row r="117" spans="1:11" s="276" customFormat="1">
      <c r="A117" s="273"/>
      <c r="K117" s="283"/>
    </row>
    <row r="118" spans="1:11" s="276" customFormat="1">
      <c r="A118" s="273"/>
      <c r="K118" s="283"/>
    </row>
    <row r="119" spans="1:11" s="276" customFormat="1">
      <c r="A119" s="273"/>
      <c r="K119" s="283"/>
    </row>
    <row r="120" spans="1:11" s="276" customFormat="1">
      <c r="A120" s="273"/>
      <c r="K120" s="283"/>
    </row>
    <row r="121" spans="1:11" s="276" customFormat="1">
      <c r="A121" s="273"/>
      <c r="K121" s="283"/>
    </row>
    <row r="122" spans="1:11" s="276" customFormat="1">
      <c r="A122" s="273"/>
      <c r="K122" s="283"/>
    </row>
    <row r="123" spans="1:11" s="276" customFormat="1">
      <c r="A123" s="273"/>
      <c r="K123" s="283"/>
    </row>
    <row r="124" spans="1:11" s="276" customFormat="1">
      <c r="A124" s="273"/>
      <c r="K124" s="283"/>
    </row>
    <row r="125" spans="1:11" s="276" customFormat="1">
      <c r="A125" s="273"/>
      <c r="K125" s="283"/>
    </row>
    <row r="126" spans="1:11" s="276" customFormat="1">
      <c r="A126" s="273"/>
      <c r="K126" s="283"/>
    </row>
    <row r="127" spans="1:11" s="276" customFormat="1">
      <c r="A127" s="273"/>
      <c r="K127" s="283"/>
    </row>
    <row r="128" spans="1:11" s="276" customFormat="1">
      <c r="A128" s="273"/>
      <c r="K128" s="283"/>
    </row>
    <row r="129" spans="1:11" s="276" customFormat="1">
      <c r="A129" s="273"/>
      <c r="K129" s="283"/>
    </row>
    <row r="130" spans="1:11" s="276" customFormat="1">
      <c r="A130" s="273"/>
      <c r="K130" s="283"/>
    </row>
    <row r="131" spans="1:11" s="276" customFormat="1">
      <c r="A131" s="273"/>
      <c r="K131" s="283"/>
    </row>
    <row r="132" spans="1:11" s="276" customFormat="1">
      <c r="A132" s="273"/>
      <c r="K132" s="283"/>
    </row>
    <row r="133" spans="1:11" s="276" customFormat="1">
      <c r="A133" s="273"/>
      <c r="K133" s="283"/>
    </row>
    <row r="134" spans="1:11" s="276" customFormat="1">
      <c r="A134" s="273"/>
      <c r="K134" s="283"/>
    </row>
    <row r="135" spans="1:11" s="276" customFormat="1">
      <c r="A135" s="273"/>
      <c r="K135" s="283"/>
    </row>
    <row r="136" spans="1:11" s="276" customFormat="1">
      <c r="A136" s="273"/>
      <c r="K136" s="283"/>
    </row>
    <row r="137" spans="1:11" s="276" customFormat="1">
      <c r="A137" s="273"/>
      <c r="K137" s="283"/>
    </row>
    <row r="138" spans="1:11" s="276" customFormat="1">
      <c r="A138" s="273"/>
      <c r="K138" s="283"/>
    </row>
    <row r="139" spans="1:11" s="276" customFormat="1">
      <c r="A139" s="273"/>
      <c r="K139" s="283"/>
    </row>
    <row r="140" spans="1:11" s="276" customFormat="1">
      <c r="A140" s="273"/>
      <c r="K140" s="283"/>
    </row>
    <row r="141" spans="1:11" s="276" customFormat="1">
      <c r="A141" s="273"/>
      <c r="K141" s="283"/>
    </row>
    <row r="142" spans="1:11" s="276" customFormat="1">
      <c r="A142" s="273"/>
      <c r="K142" s="283"/>
    </row>
    <row r="143" spans="1:11" s="276" customFormat="1">
      <c r="A143" s="273"/>
      <c r="K143" s="283"/>
    </row>
    <row r="144" spans="1:11" s="276" customFormat="1">
      <c r="A144" s="273"/>
      <c r="K144" s="283"/>
    </row>
    <row r="145" spans="1:11" s="276" customFormat="1">
      <c r="A145" s="273"/>
      <c r="K145" s="283"/>
    </row>
    <row r="146" spans="1:11" s="276" customFormat="1">
      <c r="A146" s="273"/>
      <c r="K146" s="283"/>
    </row>
    <row r="147" spans="1:11" s="276" customFormat="1">
      <c r="A147" s="273"/>
      <c r="K147" s="283"/>
    </row>
    <row r="148" spans="1:11" s="276" customFormat="1">
      <c r="A148" s="273"/>
      <c r="K148" s="283"/>
    </row>
    <row r="149" spans="1:11" s="276" customFormat="1">
      <c r="A149" s="273"/>
      <c r="K149" s="283"/>
    </row>
    <row r="150" spans="1:11" s="276" customFormat="1">
      <c r="A150" s="273"/>
      <c r="K150" s="283"/>
    </row>
    <row r="151" spans="1:11" s="276" customFormat="1">
      <c r="A151" s="273"/>
      <c r="K151" s="283"/>
    </row>
    <row r="152" spans="1:11" s="276" customFormat="1">
      <c r="A152" s="273"/>
      <c r="K152" s="283"/>
    </row>
    <row r="153" spans="1:11" s="276" customFormat="1">
      <c r="A153" s="273"/>
      <c r="K153" s="283"/>
    </row>
    <row r="154" spans="1:11" s="276" customFormat="1">
      <c r="A154" s="273"/>
      <c r="K154" s="283"/>
    </row>
    <row r="155" spans="1:11" s="276" customFormat="1">
      <c r="A155" s="273"/>
      <c r="K155" s="283"/>
    </row>
    <row r="156" spans="1:11" s="276" customFormat="1">
      <c r="A156" s="273"/>
      <c r="K156" s="283"/>
    </row>
    <row r="157" spans="1:11" s="276" customFormat="1">
      <c r="A157" s="273"/>
      <c r="K157" s="283"/>
    </row>
    <row r="158" spans="1:11" s="276" customFormat="1">
      <c r="A158" s="273"/>
      <c r="K158" s="283"/>
    </row>
    <row r="159" spans="1:11" s="276" customFormat="1">
      <c r="A159" s="273"/>
      <c r="K159" s="283"/>
    </row>
    <row r="160" spans="1:11" s="276" customFormat="1">
      <c r="A160" s="273"/>
      <c r="K160" s="283"/>
    </row>
    <row r="161" spans="1:11" s="276" customFormat="1">
      <c r="A161" s="273"/>
      <c r="K161" s="283"/>
    </row>
    <row r="162" spans="1:11" s="276" customFormat="1">
      <c r="A162" s="273"/>
      <c r="K162" s="283"/>
    </row>
    <row r="163" spans="1:11" s="276" customFormat="1">
      <c r="A163" s="273"/>
      <c r="K163" s="283"/>
    </row>
    <row r="164" spans="1:11" s="276" customFormat="1">
      <c r="A164" s="273"/>
      <c r="H164" s="273"/>
      <c r="I164" s="273"/>
      <c r="K164" s="283"/>
    </row>
  </sheetData>
  <sheetProtection autoFilter="0"/>
  <autoFilter ref="K4:R47" xr:uid="{00000000-0009-0000-0000-000001000000}"/>
  <conditionalFormatting sqref="O13 O39:O47 O29 O51:O58">
    <cfRule type="cellIs" dxfId="74" priority="42" operator="equal">
      <formula>0</formula>
    </cfRule>
  </conditionalFormatting>
  <conditionalFormatting sqref="Q5">
    <cfRule type="cellIs" dxfId="73" priority="44" operator="greaterThan">
      <formula>0</formula>
    </cfRule>
  </conditionalFormatting>
  <conditionalFormatting sqref="Q18">
    <cfRule type="cellIs" dxfId="72" priority="41" operator="greaterThan">
      <formula>0</formula>
    </cfRule>
  </conditionalFormatting>
  <conditionalFormatting sqref="Q28">
    <cfRule type="cellIs" dxfId="71" priority="35" operator="greaterThan">
      <formula>0</formula>
    </cfRule>
  </conditionalFormatting>
  <conditionalFormatting sqref="Q39">
    <cfRule type="cellIs" dxfId="70" priority="37" operator="greaterThan">
      <formula>0</formula>
    </cfRule>
  </conditionalFormatting>
  <conditionalFormatting sqref="S5">
    <cfRule type="cellIs" dxfId="69" priority="43" operator="greaterThan">
      <formula>0</formula>
    </cfRule>
  </conditionalFormatting>
  <conditionalFormatting sqref="S18">
    <cfRule type="cellIs" dxfId="68" priority="40" operator="greaterThan">
      <formula>0</formula>
    </cfRule>
  </conditionalFormatting>
  <conditionalFormatting sqref="S28">
    <cfRule type="cellIs" dxfId="67" priority="34" operator="greaterThan">
      <formula>0</formula>
    </cfRule>
  </conditionalFormatting>
  <conditionalFormatting sqref="S39">
    <cfRule type="cellIs" dxfId="66" priority="36" operator="greaterThan">
      <formula>0</formula>
    </cfRule>
  </conditionalFormatting>
  <conditionalFormatting sqref="O30:O36 O38">
    <cfRule type="cellIs" dxfId="65" priority="14" operator="equal">
      <formula>0</formula>
    </cfRule>
  </conditionalFormatting>
  <conditionalFormatting sqref="O48 O50">
    <cfRule type="cellIs" dxfId="64" priority="13" operator="equal">
      <formula>0</formula>
    </cfRule>
  </conditionalFormatting>
  <conditionalFormatting sqref="O37">
    <cfRule type="cellIs" dxfId="63" priority="12" operator="equal">
      <formula>0</formula>
    </cfRule>
  </conditionalFormatting>
  <conditionalFormatting sqref="O49">
    <cfRule type="cellIs" dxfId="62" priority="11" operator="equal">
      <formula>0</formula>
    </cfRule>
  </conditionalFormatting>
  <conditionalFormatting sqref="Q51">
    <cfRule type="cellIs" dxfId="61" priority="4" operator="greaterThan">
      <formula>0</formula>
    </cfRule>
  </conditionalFormatting>
  <conditionalFormatting sqref="S51">
    <cfRule type="cellIs" dxfId="60" priority="3" operator="greaterThan">
      <formula>0</formula>
    </cfRule>
  </conditionalFormatting>
  <conditionalFormatting sqref="O59 O61">
    <cfRule type="cellIs" dxfId="59" priority="2" operator="equal">
      <formula>0</formula>
    </cfRule>
  </conditionalFormatting>
  <conditionalFormatting sqref="O60">
    <cfRule type="cellIs" dxfId="58"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scale="130" orientation="landscape"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D12C4-1192-473D-8889-D09898022625}">
  <sheetPr>
    <tabColor theme="2" tint="-0.499984740745262"/>
    <pageSetUpPr fitToPage="1"/>
  </sheetPr>
  <dimension ref="A1:S45"/>
  <sheetViews>
    <sheetView workbookViewId="0"/>
  </sheetViews>
  <sheetFormatPr baseColWidth="10" defaultRowHeight="15"/>
  <cols>
    <col min="1" max="1" width="4.5703125" style="731" customWidth="1"/>
    <col min="2" max="2" width="16.85546875" style="783" hidden="1" customWidth="1"/>
    <col min="3" max="3" width="5.7109375" style="784" customWidth="1"/>
    <col min="4" max="4" width="22.85546875" style="785" customWidth="1"/>
    <col min="5" max="5" width="5.5703125" style="732" customWidth="1"/>
    <col min="6" max="6" width="8.28515625" style="732" hidden="1" customWidth="1"/>
    <col min="7" max="7" width="14.140625" style="786" customWidth="1"/>
    <col min="8" max="8" width="12.7109375" style="732" hidden="1" customWidth="1"/>
    <col min="9" max="9" width="12.7109375" style="786" hidden="1" customWidth="1"/>
    <col min="10" max="10" width="20.140625" style="786" hidden="1" customWidth="1"/>
    <col min="11" max="11" width="15.7109375" style="786" customWidth="1"/>
    <col min="12" max="12" width="18.85546875" style="786" customWidth="1"/>
    <col min="13" max="13" width="13.42578125" style="786" customWidth="1"/>
    <col min="14" max="14" width="15.28515625" style="786" customWidth="1"/>
    <col min="15" max="15" width="18.7109375" style="786" customWidth="1"/>
    <col min="16" max="16" width="9.5703125" style="786" bestFit="1" customWidth="1"/>
    <col min="17" max="16384" width="11.42578125" style="786"/>
  </cols>
  <sheetData>
    <row r="1" spans="2:16" s="731" customFormat="1">
      <c r="B1" s="727"/>
      <c r="C1" s="728"/>
      <c r="D1" s="729"/>
      <c r="E1" s="730"/>
      <c r="F1" s="730"/>
      <c r="H1" s="732"/>
      <c r="I1" s="733"/>
      <c r="J1" s="733"/>
      <c r="M1" s="733"/>
      <c r="N1" s="733"/>
    </row>
    <row r="2" spans="2:16" s="731" customFormat="1">
      <c r="B2" s="727"/>
      <c r="C2" s="728"/>
      <c r="D2" s="729"/>
      <c r="E2" s="734"/>
      <c r="F2" s="734"/>
      <c r="G2" s="735">
        <f>SUBTOTAL(9,G6:G45)</f>
        <v>8394.9509471309393</v>
      </c>
      <c r="H2" s="735" t="e">
        <f>SUBTOTAL(9,H5:H45)</f>
        <v>#REF!</v>
      </c>
      <c r="I2" s="735" t="e">
        <f>SUBTOTAL(9,I5:I45)</f>
        <v>#REF!</v>
      </c>
      <c r="J2" s="735" t="e">
        <f>SUBTOTAL(9,J5:J45)</f>
        <v>#REF!</v>
      </c>
      <c r="M2" s="735">
        <f>SUBTOTAL(1,M7:M45)</f>
        <v>264.95810780059594</v>
      </c>
      <c r="N2" s="736">
        <f>SUBTOTAL(9,N7:N45)</f>
        <v>1127102.1805033996</v>
      </c>
    </row>
    <row r="3" spans="2:16" s="727" customFormat="1" ht="47.25" customHeight="1">
      <c r="B3" s="737" t="s">
        <v>196</v>
      </c>
      <c r="C3" s="738"/>
      <c r="D3" s="739" t="s">
        <v>197</v>
      </c>
      <c r="E3" s="740" t="s">
        <v>614</v>
      </c>
      <c r="F3" s="740" t="s">
        <v>613</v>
      </c>
      <c r="G3" s="740" t="s">
        <v>612</v>
      </c>
      <c r="H3" s="741" t="s">
        <v>611</v>
      </c>
      <c r="I3" s="741" t="s">
        <v>610</v>
      </c>
      <c r="J3" s="741" t="s">
        <v>609</v>
      </c>
      <c r="K3" s="741" t="s">
        <v>608</v>
      </c>
      <c r="L3" s="740" t="s">
        <v>198</v>
      </c>
      <c r="M3" s="742" t="s">
        <v>199</v>
      </c>
      <c r="N3" s="740" t="s">
        <v>200</v>
      </c>
      <c r="O3" s="740" t="s">
        <v>607</v>
      </c>
    </row>
    <row r="4" spans="2:16" s="731" customFormat="1" ht="15" customHeight="1">
      <c r="B4" s="737"/>
      <c r="C4" s="743"/>
      <c r="D4" s="744"/>
      <c r="E4" s="745"/>
      <c r="F4" s="745"/>
      <c r="G4" s="746"/>
      <c r="H4" s="747" t="s">
        <v>201</v>
      </c>
      <c r="I4" s="745" t="s">
        <v>201</v>
      </c>
      <c r="J4" s="745" t="s">
        <v>201</v>
      </c>
      <c r="K4" s="748"/>
      <c r="L4" s="746"/>
      <c r="M4" s="745" t="s">
        <v>201</v>
      </c>
      <c r="N4" s="745" t="s">
        <v>202</v>
      </c>
      <c r="O4" s="746"/>
      <c r="P4" s="749"/>
    </row>
    <row r="5" spans="2:16" s="731" customFormat="1" ht="15" customHeight="1">
      <c r="B5" s="750" t="s">
        <v>203</v>
      </c>
      <c r="C5" s="751">
        <v>0</v>
      </c>
      <c r="D5" s="752" t="s">
        <v>204</v>
      </c>
      <c r="E5" s="753" t="s">
        <v>205</v>
      </c>
      <c r="F5" s="753"/>
      <c r="G5" s="754"/>
      <c r="H5" s="721">
        <v>3000</v>
      </c>
      <c r="I5" s="721" t="e">
        <f>('Formulacion Ene 24'!R44+'Formulacion Ene 24'!R13+'Formulacion Ene 24'!R59+'Formulacion Ene 24'!R20+'Formulacion Ene 24'!R66+'Formulacion Ene 24'!R37+'Formulacion Ene 24'!R82+'Formulacion Ene 24'!R49+'Formulacion Ene 24'!R28+'Formulacion Ene 24'!R73+'Formulacion Ene 24'!R88+'Formulacion Ene 24'!R97+'Formulacion Ene 24'!R104+'Formulacion Ene 24'!R109)+64.5</f>
        <v>#REF!</v>
      </c>
      <c r="J5" s="754" t="e">
        <f>(G5+H5-I5)</f>
        <v>#REF!</v>
      </c>
      <c r="K5" s="755">
        <v>271</v>
      </c>
      <c r="L5" s="857" t="e">
        <f>(K5-J5)</f>
        <v>#REF!</v>
      </c>
      <c r="M5" s="756"/>
      <c r="N5" s="757">
        <f>M5*K5</f>
        <v>0</v>
      </c>
      <c r="O5" s="857"/>
      <c r="P5" s="758" t="e">
        <f>(K5-J5)/J5</f>
        <v>#REF!</v>
      </c>
    </row>
    <row r="6" spans="2:16" s="731" customFormat="1" ht="15" customHeight="1">
      <c r="B6" s="750" t="s">
        <v>203</v>
      </c>
      <c r="C6" s="751">
        <v>1</v>
      </c>
      <c r="D6" s="759" t="s">
        <v>206</v>
      </c>
      <c r="E6" s="753" t="s">
        <v>207</v>
      </c>
      <c r="F6" s="753"/>
      <c r="G6" s="760">
        <v>59.2</v>
      </c>
      <c r="H6" s="722"/>
      <c r="I6" s="726" t="e">
        <f>'Formulacion Ene 24'!R48</f>
        <v>#REF!</v>
      </c>
      <c r="J6" s="760" t="e">
        <f>(G6+H6)-I6</f>
        <v>#REF!</v>
      </c>
      <c r="K6" s="761">
        <v>59.2</v>
      </c>
      <c r="L6" s="762" t="e">
        <f>K6-J6</f>
        <v>#REF!</v>
      </c>
      <c r="M6" s="763">
        <f>753.54/25</f>
        <v>30.141599999999997</v>
      </c>
      <c r="N6" s="757">
        <f>M6*K6</f>
        <v>1784.3827199999998</v>
      </c>
      <c r="O6" s="762"/>
      <c r="P6" s="749"/>
    </row>
    <row r="7" spans="2:16" s="731" customFormat="1" ht="15" customHeight="1">
      <c r="B7" s="750" t="s">
        <v>203</v>
      </c>
      <c r="C7" s="751">
        <v>2</v>
      </c>
      <c r="D7" s="759" t="s">
        <v>208</v>
      </c>
      <c r="E7" s="753" t="s">
        <v>207</v>
      </c>
      <c r="F7" s="753"/>
      <c r="G7" s="760">
        <v>79.8</v>
      </c>
      <c r="H7" s="722">
        <v>75</v>
      </c>
      <c r="I7" s="726" t="e">
        <f>('Formulacion Ene 24'!R32+'Formulacion Ene 24'!R77)</f>
        <v>#REF!</v>
      </c>
      <c r="J7" s="760" t="e">
        <f>(G7+H7)-I7</f>
        <v>#REF!</v>
      </c>
      <c r="K7" s="761">
        <v>54.8</v>
      </c>
      <c r="L7" s="762" t="e">
        <f>K7-J7</f>
        <v>#REF!</v>
      </c>
      <c r="M7" s="787">
        <f>225*20.5/150</f>
        <v>30.75</v>
      </c>
      <c r="N7" s="757">
        <f>M7*K7</f>
        <v>1685.1</v>
      </c>
      <c r="O7" s="762"/>
      <c r="P7" s="758" t="e">
        <f>(K7-J7)/J7</f>
        <v>#REF!</v>
      </c>
    </row>
    <row r="8" spans="2:16" s="731" customFormat="1" ht="15" customHeight="1">
      <c r="B8" s="750" t="s">
        <v>203</v>
      </c>
      <c r="C8" s="751">
        <v>3</v>
      </c>
      <c r="D8" s="752" t="s">
        <v>273</v>
      </c>
      <c r="E8" s="753" t="s">
        <v>207</v>
      </c>
      <c r="F8" s="753"/>
      <c r="G8" s="760">
        <v>54.7</v>
      </c>
      <c r="H8" s="722"/>
      <c r="I8" s="726" t="e">
        <f>'Formulacion Ene 24'!R27+1</f>
        <v>#REF!</v>
      </c>
      <c r="J8" s="760" t="e">
        <f>(G8+H8)-I8</f>
        <v>#REF!</v>
      </c>
      <c r="K8" s="765">
        <v>36.549999999999997</v>
      </c>
      <c r="L8" s="789" t="e">
        <f>(K8-J8)</f>
        <v>#REF!</v>
      </c>
      <c r="M8" s="787">
        <f>580*20.5/50</f>
        <v>237.8</v>
      </c>
      <c r="N8" s="757"/>
      <c r="O8" s="789"/>
      <c r="P8" s="758" t="e">
        <f>(K8-J8)/J8</f>
        <v>#REF!</v>
      </c>
    </row>
    <row r="9" spans="2:16" s="731" customFormat="1" ht="15" customHeight="1">
      <c r="B9" s="750" t="s">
        <v>640</v>
      </c>
      <c r="C9" s="751">
        <v>4</v>
      </c>
      <c r="D9" s="766" t="s">
        <v>209</v>
      </c>
      <c r="E9" s="753" t="s">
        <v>207</v>
      </c>
      <c r="F9" s="753"/>
      <c r="G9" s="760">
        <v>75</v>
      </c>
      <c r="H9" s="722"/>
      <c r="I9" s="726" t="e">
        <f>'Formulacion Ene 24'!R41</f>
        <v>#REF!</v>
      </c>
      <c r="J9" s="760" t="e">
        <f>(G9+H9-I9)</f>
        <v>#REF!</v>
      </c>
      <c r="K9" s="761">
        <v>75</v>
      </c>
      <c r="L9" s="762" t="e">
        <f t="shared" ref="L9:L17" si="0">(K9-J9)</f>
        <v>#REF!</v>
      </c>
      <c r="M9" s="787">
        <f>370/25</f>
        <v>14.8</v>
      </c>
      <c r="N9" s="757">
        <f>M9*K9</f>
        <v>1110</v>
      </c>
      <c r="O9" s="762"/>
      <c r="P9" s="749"/>
    </row>
    <row r="10" spans="2:16" s="731" customFormat="1" ht="15" customHeight="1">
      <c r="B10" s="750" t="s">
        <v>203</v>
      </c>
      <c r="C10" s="751">
        <v>5</v>
      </c>
      <c r="D10" s="766" t="s">
        <v>446</v>
      </c>
      <c r="E10" s="753" t="s">
        <v>210</v>
      </c>
      <c r="F10" s="753"/>
      <c r="G10" s="768">
        <v>80</v>
      </c>
      <c r="H10" s="723">
        <v>400</v>
      </c>
      <c r="I10" s="769" t="e">
        <f>('Formulacion Ene 24'!R45+'Formulacion Ene 24'!R14+'Formulacion Ene 24'!R60+'Formulacion Ene 24'!R21+'Formulacion Ene 24'!R67+'Formulacion Ene 24'!R38+'Formulacion Ene 24'!R83+'Formulacion Ene 24'!R50+'Formulacion Ene 24'!R29+'Formulacion Ene 24'!R74+'Formulacion Ene 24'!R89+'Formulacion Ene 24'!R98+'Formulacion Ene 24'!R105+'Formulacion Ene 24'!R110)</f>
        <v>#REF!</v>
      </c>
      <c r="J10" s="770" t="e">
        <f>G10+H10-I10</f>
        <v>#REF!</v>
      </c>
      <c r="K10" s="768">
        <v>5</v>
      </c>
      <c r="L10" s="858" t="e">
        <f t="shared" si="0"/>
        <v>#REF!</v>
      </c>
      <c r="M10" s="767">
        <f>140</f>
        <v>140</v>
      </c>
      <c r="N10" s="757">
        <f>M10*K10</f>
        <v>700</v>
      </c>
      <c r="O10" s="858"/>
      <c r="P10" s="749"/>
    </row>
    <row r="11" spans="2:16" s="731" customFormat="1" ht="15" customHeight="1">
      <c r="B11" s="750" t="s">
        <v>203</v>
      </c>
      <c r="C11" s="751">
        <v>6</v>
      </c>
      <c r="D11" s="759" t="s">
        <v>211</v>
      </c>
      <c r="E11" s="753" t="s">
        <v>205</v>
      </c>
      <c r="F11" s="753"/>
      <c r="G11" s="754">
        <v>178</v>
      </c>
      <c r="H11" s="721">
        <f>200+200+400</f>
        <v>800</v>
      </c>
      <c r="I11" s="721" t="e">
        <f>('Formulacion Ene 24'!R12+'Formulacion Ene 24'!R58+'Formulacion Ene 24'!R19)</f>
        <v>#REF!</v>
      </c>
      <c r="J11" s="754" t="e">
        <f>(G11+H11-I11)</f>
        <v>#REF!</v>
      </c>
      <c r="K11" s="755">
        <v>28</v>
      </c>
      <c r="L11" s="857" t="e">
        <f t="shared" si="0"/>
        <v>#REF!</v>
      </c>
      <c r="M11" s="787">
        <f>73500/1000</f>
        <v>73.5</v>
      </c>
      <c r="N11" s="757">
        <f>M11*K11</f>
        <v>2058</v>
      </c>
      <c r="O11" s="857"/>
      <c r="P11" s="758" t="e">
        <f>(K11-J11)/J11</f>
        <v>#REF!</v>
      </c>
    </row>
    <row r="12" spans="2:16" s="731" customFormat="1" ht="15" customHeight="1">
      <c r="B12" s="750"/>
      <c r="C12" s="751">
        <v>7</v>
      </c>
      <c r="D12" s="759" t="s">
        <v>638</v>
      </c>
      <c r="E12" s="753" t="s">
        <v>207</v>
      </c>
      <c r="F12" s="753"/>
      <c r="G12" s="760">
        <v>25</v>
      </c>
      <c r="H12" s="722"/>
      <c r="I12" s="722"/>
      <c r="J12" s="760">
        <f>(G12+H12-I12)</f>
        <v>25</v>
      </c>
      <c r="K12" s="761">
        <v>25</v>
      </c>
      <c r="L12" s="762">
        <f t="shared" si="0"/>
        <v>0</v>
      </c>
      <c r="M12" s="764"/>
      <c r="N12" s="757"/>
      <c r="O12" s="762"/>
      <c r="P12" s="758"/>
    </row>
    <row r="13" spans="2:16" s="731" customFormat="1" ht="15" customHeight="1">
      <c r="B13" s="750"/>
      <c r="C13" s="751">
        <v>8</v>
      </c>
      <c r="D13" s="759" t="s">
        <v>274</v>
      </c>
      <c r="E13" s="753" t="s">
        <v>205</v>
      </c>
      <c r="F13" s="753"/>
      <c r="G13" s="754">
        <v>1</v>
      </c>
      <c r="H13" s="721"/>
      <c r="I13" s="721">
        <f>('Formulacion Ene 24'!R65+'Formulacion Ene 24'!R87+'Formulacion Ene 24'!R96+'Formulacion Ene 24'!R103+'Formulacion Ene 24'!R108)</f>
        <v>0</v>
      </c>
      <c r="J13" s="771">
        <f>(G13+H13-I13)</f>
        <v>1</v>
      </c>
      <c r="K13" s="724">
        <v>1</v>
      </c>
      <c r="L13" s="857">
        <f t="shared" si="0"/>
        <v>0</v>
      </c>
      <c r="M13" s="764">
        <v>629.6</v>
      </c>
      <c r="N13" s="757"/>
      <c r="O13" s="857"/>
      <c r="P13" s="758"/>
    </row>
    <row r="14" spans="2:16" s="731" customFormat="1" ht="15" customHeight="1">
      <c r="B14" s="750" t="s">
        <v>640</v>
      </c>
      <c r="C14" s="751">
        <v>9</v>
      </c>
      <c r="D14" s="752" t="s">
        <v>212</v>
      </c>
      <c r="E14" s="753" t="s">
        <v>207</v>
      </c>
      <c r="F14" s="753"/>
      <c r="G14" s="760">
        <v>22.8</v>
      </c>
      <c r="H14" s="722"/>
      <c r="I14" s="722" t="e">
        <f>'Formulacion Ene 24'!R42</f>
        <v>#REF!</v>
      </c>
      <c r="J14" s="760" t="e">
        <f>(G14+H14-I14)</f>
        <v>#REF!</v>
      </c>
      <c r="K14" s="761">
        <v>22.8</v>
      </c>
      <c r="L14" s="762" t="e">
        <f t="shared" si="0"/>
        <v>#REF!</v>
      </c>
      <c r="M14" s="767">
        <v>13.568999999999999</v>
      </c>
      <c r="N14" s="757">
        <f>M14*K14</f>
        <v>309.3732</v>
      </c>
      <c r="O14" s="762"/>
      <c r="P14" s="749"/>
    </row>
    <row r="15" spans="2:16" s="731" customFormat="1" ht="15" customHeight="1">
      <c r="B15" s="750" t="s">
        <v>203</v>
      </c>
      <c r="C15" s="751">
        <v>10</v>
      </c>
      <c r="D15" s="759" t="s">
        <v>507</v>
      </c>
      <c r="E15" s="753" t="s">
        <v>205</v>
      </c>
      <c r="F15" s="772">
        <v>0.85099999999999998</v>
      </c>
      <c r="G15" s="755">
        <v>1742.9</v>
      </c>
      <c r="H15" s="724"/>
      <c r="I15" s="724" t="e">
        <f>('Formulacion Ene 24'!R11+'Formulacion Ene 24'!R57+'Formulacion Ene 24'!R18+'Formulacion Ene 24'!R64+'Formulacion Ene 24'!R86+'Formulacion Ene 24'!R95+'Formulacion Ene 24'!R102+'Formulacion Ene 24'!R107)</f>
        <v>#REF!</v>
      </c>
      <c r="J15" s="755" t="e">
        <f>(G15+H15-I15)</f>
        <v>#REF!</v>
      </c>
      <c r="K15" s="755">
        <v>1238.9000000000001</v>
      </c>
      <c r="L15" s="859" t="e">
        <f t="shared" si="0"/>
        <v>#REF!</v>
      </c>
      <c r="M15" s="767">
        <f>(4*20.5)/0.849</f>
        <v>96.584216725559486</v>
      </c>
      <c r="N15" s="757">
        <f>M15*K15</f>
        <v>119658.18610129565</v>
      </c>
      <c r="O15" s="859"/>
      <c r="P15" s="749"/>
    </row>
    <row r="16" spans="2:16" s="731" customFormat="1" ht="15" customHeight="1">
      <c r="B16" s="750" t="s">
        <v>640</v>
      </c>
      <c r="C16" s="751">
        <v>11</v>
      </c>
      <c r="D16" s="759" t="s">
        <v>213</v>
      </c>
      <c r="E16" s="753" t="s">
        <v>207</v>
      </c>
      <c r="F16" s="753"/>
      <c r="G16" s="760">
        <v>0</v>
      </c>
      <c r="H16" s="722"/>
      <c r="I16" s="722"/>
      <c r="J16" s="760">
        <v>0</v>
      </c>
      <c r="K16" s="765">
        <v>0</v>
      </c>
      <c r="L16" s="762">
        <f t="shared" si="0"/>
        <v>0</v>
      </c>
      <c r="M16" s="767">
        <f>(49.78*20.5)/50</f>
        <v>20.409800000000001</v>
      </c>
      <c r="N16" s="757">
        <f>M16*K16</f>
        <v>0</v>
      </c>
      <c r="O16" s="762"/>
      <c r="P16" s="758" t="e">
        <f>(K16-J16)/J16</f>
        <v>#DIV/0!</v>
      </c>
    </row>
    <row r="17" spans="2:16" s="731" customFormat="1" ht="23.25" customHeight="1">
      <c r="B17" s="750" t="s">
        <v>203</v>
      </c>
      <c r="C17" s="751">
        <v>12</v>
      </c>
      <c r="D17" s="759" t="s">
        <v>214</v>
      </c>
      <c r="E17" s="753" t="s">
        <v>207</v>
      </c>
      <c r="F17" s="753"/>
      <c r="G17" s="760">
        <v>324.2</v>
      </c>
      <c r="H17" s="722">
        <v>500</v>
      </c>
      <c r="I17" s="722" t="e">
        <f>'Formulacion Ene 24'!R33+7.1</f>
        <v>#REF!</v>
      </c>
      <c r="J17" s="762" t="e">
        <f>(G17+H17-I17)</f>
        <v>#REF!</v>
      </c>
      <c r="K17" s="856">
        <v>217.1</v>
      </c>
      <c r="L17" s="1100" t="e">
        <f t="shared" si="0"/>
        <v>#REF!</v>
      </c>
      <c r="M17" s="787">
        <f>701.57/25</f>
        <v>28.062800000000003</v>
      </c>
      <c r="N17" s="757">
        <f>M17*K17</f>
        <v>6092.4338800000005</v>
      </c>
      <c r="O17" s="1100">
        <v>-2.8421709430404007E-14</v>
      </c>
      <c r="P17" s="758" t="e">
        <f>(K17-J17)/J17</f>
        <v>#REF!</v>
      </c>
    </row>
    <row r="18" spans="2:16" s="731" customFormat="1" ht="15" customHeight="1">
      <c r="B18" s="750" t="s">
        <v>203</v>
      </c>
      <c r="C18" s="751">
        <v>13</v>
      </c>
      <c r="D18" s="752" t="s">
        <v>215</v>
      </c>
      <c r="E18" s="753" t="s">
        <v>207</v>
      </c>
      <c r="F18" s="753"/>
      <c r="G18" s="760">
        <v>124</v>
      </c>
      <c r="H18" s="722">
        <v>182</v>
      </c>
      <c r="I18" s="722" t="e">
        <f>'Formulacion Ene 24'!R35+'Formulacion Ene 24'!R80</f>
        <v>#REF!</v>
      </c>
      <c r="J18" s="760" t="e">
        <f t="shared" ref="J18:J28" si="1">(G18+H18)-I18</f>
        <v>#REF!</v>
      </c>
      <c r="K18" s="761">
        <v>66</v>
      </c>
      <c r="L18" s="760" t="e">
        <f>K18-J18</f>
        <v>#REF!</v>
      </c>
      <c r="M18" s="787">
        <f>1710/14</f>
        <v>122.14285714285714</v>
      </c>
      <c r="N18" s="757">
        <f>M18*K18</f>
        <v>8061.4285714285716</v>
      </c>
      <c r="O18" s="760"/>
      <c r="P18" s="758"/>
    </row>
    <row r="19" spans="2:16" s="731" customFormat="1" ht="15" customHeight="1">
      <c r="B19" s="750" t="s">
        <v>203</v>
      </c>
      <c r="C19" s="751">
        <v>14</v>
      </c>
      <c r="D19" s="759" t="s">
        <v>270</v>
      </c>
      <c r="E19" s="753" t="s">
        <v>207</v>
      </c>
      <c r="F19" s="753"/>
      <c r="G19" s="760">
        <v>175.5</v>
      </c>
      <c r="H19" s="722"/>
      <c r="I19" s="722" t="e">
        <f>'Formulacion Ene 24'!R24+5</f>
        <v>#REF!</v>
      </c>
      <c r="J19" s="760" t="e">
        <f t="shared" si="1"/>
        <v>#REF!</v>
      </c>
      <c r="K19" s="761">
        <v>85.35</v>
      </c>
      <c r="L19" s="789" t="e">
        <f t="shared" ref="L19:L45" si="2">(K19-J19)</f>
        <v>#REF!</v>
      </c>
      <c r="M19" s="787">
        <f>14250/50</f>
        <v>285</v>
      </c>
      <c r="N19" s="757"/>
      <c r="O19" s="789"/>
      <c r="P19" s="758"/>
    </row>
    <row r="20" spans="2:16" s="731" customFormat="1" ht="15" customHeight="1">
      <c r="B20" s="750" t="s">
        <v>203</v>
      </c>
      <c r="C20" s="751">
        <v>15</v>
      </c>
      <c r="D20" s="759" t="s">
        <v>271</v>
      </c>
      <c r="E20" s="753" t="s">
        <v>207</v>
      </c>
      <c r="F20" s="753"/>
      <c r="G20" s="760">
        <v>160.80000000000001</v>
      </c>
      <c r="H20" s="722"/>
      <c r="I20" s="722" t="e">
        <f>'Formulacion Ene 24'!R25+4.5</f>
        <v>#REF!</v>
      </c>
      <c r="J20" s="760" t="e">
        <f t="shared" si="1"/>
        <v>#REF!</v>
      </c>
      <c r="K20" s="761">
        <v>80.55</v>
      </c>
      <c r="L20" s="789" t="e">
        <f t="shared" si="2"/>
        <v>#REF!</v>
      </c>
      <c r="M20" s="787">
        <f>14250/50</f>
        <v>285</v>
      </c>
      <c r="N20" s="757"/>
      <c r="O20" s="789"/>
      <c r="P20" s="758"/>
    </row>
    <row r="21" spans="2:16" s="731" customFormat="1" ht="15" customHeight="1">
      <c r="B21" s="750" t="s">
        <v>203</v>
      </c>
      <c r="C21" s="751">
        <v>16</v>
      </c>
      <c r="D21" s="759" t="s">
        <v>272</v>
      </c>
      <c r="E21" s="753" t="s">
        <v>207</v>
      </c>
      <c r="F21" s="753"/>
      <c r="G21" s="760">
        <v>400</v>
      </c>
      <c r="H21" s="722"/>
      <c r="I21" s="722" t="e">
        <f>'Formulacion Ene 24'!R26+12.5</f>
        <v>#REF!</v>
      </c>
      <c r="J21" s="760" t="e">
        <f t="shared" si="1"/>
        <v>#REF!</v>
      </c>
      <c r="K21" s="761">
        <v>175</v>
      </c>
      <c r="L21" s="760" t="e">
        <f t="shared" si="2"/>
        <v>#REF!</v>
      </c>
      <c r="M21" s="787">
        <f>28500/100</f>
        <v>285</v>
      </c>
      <c r="N21" s="757"/>
      <c r="O21" s="760"/>
      <c r="P21" s="758" t="e">
        <f t="shared" ref="P21:P35" si="3">(K21-J21)/J21</f>
        <v>#REF!</v>
      </c>
    </row>
    <row r="22" spans="2:16" s="731" customFormat="1" ht="15" customHeight="1">
      <c r="B22" s="750" t="s">
        <v>203</v>
      </c>
      <c r="C22" s="751">
        <v>17</v>
      </c>
      <c r="D22" s="766" t="s">
        <v>216</v>
      </c>
      <c r="E22" s="753" t="s">
        <v>207</v>
      </c>
      <c r="F22" s="753"/>
      <c r="G22" s="760">
        <v>267.39999999999998</v>
      </c>
      <c r="H22" s="722">
        <v>250</v>
      </c>
      <c r="I22" s="722" t="e">
        <f>'Formulacion Ene 24'!R40+('Formulacion Ene 24'!R36/1.4)+('Formulacion Ene 24'!R81/1.4)</f>
        <v>#REF!</v>
      </c>
      <c r="J22" s="760" t="e">
        <f t="shared" si="1"/>
        <v>#REF!</v>
      </c>
      <c r="K22" s="761">
        <v>403.16</v>
      </c>
      <c r="L22" s="789" t="e">
        <f t="shared" si="2"/>
        <v>#REF!</v>
      </c>
      <c r="M22" s="787">
        <f>3700/100</f>
        <v>37</v>
      </c>
      <c r="N22" s="757">
        <f>M22*K22</f>
        <v>14916.92</v>
      </c>
      <c r="O22" s="789"/>
      <c r="P22" s="758" t="e">
        <f t="shared" si="3"/>
        <v>#REF!</v>
      </c>
    </row>
    <row r="23" spans="2:16" s="731" customFormat="1" ht="15" customHeight="1">
      <c r="B23" s="750" t="s">
        <v>203</v>
      </c>
      <c r="C23" s="751">
        <v>18</v>
      </c>
      <c r="D23" s="759" t="s">
        <v>217</v>
      </c>
      <c r="E23" s="753" t="s">
        <v>205</v>
      </c>
      <c r="F23" s="753"/>
      <c r="G23" s="754">
        <v>0</v>
      </c>
      <c r="H23" s="721">
        <f>750+750</f>
        <v>1500</v>
      </c>
      <c r="I23" s="754" t="e">
        <f>('Formulacion Ene 24'!R34+'Formulacion Ene 24'!R79)</f>
        <v>#REF!</v>
      </c>
      <c r="J23" s="754" t="e">
        <f t="shared" si="1"/>
        <v>#REF!</v>
      </c>
      <c r="K23" s="755">
        <v>0</v>
      </c>
      <c r="L23" s="754" t="e">
        <f t="shared" si="2"/>
        <v>#REF!</v>
      </c>
      <c r="M23" s="767">
        <v>5</v>
      </c>
      <c r="N23" s="757">
        <f>M23*K23</f>
        <v>0</v>
      </c>
      <c r="O23" s="754"/>
      <c r="P23" s="758" t="e">
        <f t="shared" si="3"/>
        <v>#REF!</v>
      </c>
    </row>
    <row r="24" spans="2:16" s="731" customFormat="1" ht="15" customHeight="1">
      <c r="B24" s="750" t="s">
        <v>203</v>
      </c>
      <c r="C24" s="751">
        <v>19</v>
      </c>
      <c r="D24" s="752" t="s">
        <v>218</v>
      </c>
      <c r="E24" s="753" t="s">
        <v>205</v>
      </c>
      <c r="F24" s="753"/>
      <c r="G24" s="754">
        <v>0</v>
      </c>
      <c r="H24" s="721">
        <f>1000+1000</f>
        <v>2000</v>
      </c>
      <c r="I24" s="754" t="e">
        <f>('Formulacion Ene 24'!R31+'Formulacion Ene 24'!R76)</f>
        <v>#REF!</v>
      </c>
      <c r="J24" s="754" t="e">
        <f t="shared" si="1"/>
        <v>#REF!</v>
      </c>
      <c r="K24" s="755">
        <v>0</v>
      </c>
      <c r="L24" s="754" t="e">
        <f t="shared" si="2"/>
        <v>#REF!</v>
      </c>
      <c r="M24" s="767">
        <v>1</v>
      </c>
      <c r="N24" s="757">
        <f>M24*K24</f>
        <v>0</v>
      </c>
      <c r="O24" s="754"/>
      <c r="P24" s="758" t="e">
        <f t="shared" si="3"/>
        <v>#REF!</v>
      </c>
    </row>
    <row r="25" spans="2:16" s="731" customFormat="1" ht="15" customHeight="1">
      <c r="B25" s="750"/>
      <c r="C25" s="751">
        <v>20</v>
      </c>
      <c r="D25" s="752" t="s">
        <v>765</v>
      </c>
      <c r="E25" s="753" t="s">
        <v>207</v>
      </c>
      <c r="F25" s="753"/>
      <c r="G25" s="760">
        <v>117.8</v>
      </c>
      <c r="H25" s="722"/>
      <c r="I25" s="726">
        <v>2</v>
      </c>
      <c r="J25" s="762">
        <f t="shared" si="1"/>
        <v>115.8</v>
      </c>
      <c r="K25" s="1101">
        <v>115.75</v>
      </c>
      <c r="L25" s="1100">
        <f t="shared" si="2"/>
        <v>-4.9999999999997158E-2</v>
      </c>
      <c r="M25" s="767"/>
      <c r="N25" s="757"/>
      <c r="O25" s="1100">
        <v>-4.9999999999997158E-2</v>
      </c>
      <c r="P25" s="758">
        <f t="shared" si="3"/>
        <v>-4.3177892918823109E-4</v>
      </c>
    </row>
    <row r="26" spans="2:16" s="731" customFormat="1" ht="15" customHeight="1">
      <c r="B26" s="750" t="s">
        <v>640</v>
      </c>
      <c r="C26" s="751">
        <v>21</v>
      </c>
      <c r="D26" s="766" t="s">
        <v>219</v>
      </c>
      <c r="E26" s="753" t="s">
        <v>207</v>
      </c>
      <c r="F26" s="753"/>
      <c r="G26" s="760">
        <v>0</v>
      </c>
      <c r="H26" s="722"/>
      <c r="I26" s="722" t="e">
        <f>('Formulacion Ene 24'!R47)</f>
        <v>#REF!</v>
      </c>
      <c r="J26" s="760" t="e">
        <f t="shared" si="1"/>
        <v>#REF!</v>
      </c>
      <c r="K26" s="765">
        <v>0</v>
      </c>
      <c r="L26" s="760" t="e">
        <f t="shared" si="2"/>
        <v>#REF!</v>
      </c>
      <c r="M26" s="763">
        <f>5.49+3.51</f>
        <v>9</v>
      </c>
      <c r="N26" s="757">
        <f>M26*K26</f>
        <v>0</v>
      </c>
      <c r="O26" s="760"/>
      <c r="P26" s="758" t="e">
        <f t="shared" si="3"/>
        <v>#REF!</v>
      </c>
    </row>
    <row r="27" spans="2:16" s="731" customFormat="1" ht="15" customHeight="1">
      <c r="B27" s="750"/>
      <c r="C27" s="751">
        <v>22</v>
      </c>
      <c r="D27" s="766" t="s">
        <v>578</v>
      </c>
      <c r="E27" s="753" t="s">
        <v>207</v>
      </c>
      <c r="F27" s="753"/>
      <c r="G27" s="760">
        <v>50</v>
      </c>
      <c r="H27" s="722"/>
      <c r="I27" s="726"/>
      <c r="J27" s="760">
        <f t="shared" si="1"/>
        <v>50</v>
      </c>
      <c r="K27" s="760">
        <f>(J27-I27)</f>
        <v>50</v>
      </c>
      <c r="L27" s="760">
        <f t="shared" si="2"/>
        <v>0</v>
      </c>
      <c r="M27" s="763"/>
      <c r="N27" s="757"/>
      <c r="O27" s="760"/>
      <c r="P27" s="758">
        <f t="shared" si="3"/>
        <v>0</v>
      </c>
    </row>
    <row r="28" spans="2:16" s="731" customFormat="1" ht="15" customHeight="1">
      <c r="B28" s="750" t="s">
        <v>640</v>
      </c>
      <c r="C28" s="751">
        <v>23</v>
      </c>
      <c r="D28" s="759" t="s">
        <v>566</v>
      </c>
      <c r="E28" s="753" t="s">
        <v>207</v>
      </c>
      <c r="F28" s="753"/>
      <c r="G28" s="760">
        <v>25</v>
      </c>
      <c r="H28" s="722"/>
      <c r="I28" s="726">
        <v>1.6</v>
      </c>
      <c r="J28" s="760">
        <f t="shared" si="1"/>
        <v>23.4</v>
      </c>
      <c r="K28" s="765">
        <v>23.4</v>
      </c>
      <c r="L28" s="760">
        <f t="shared" si="2"/>
        <v>0</v>
      </c>
      <c r="M28" s="773">
        <f>(145/25)+5</f>
        <v>10.8</v>
      </c>
      <c r="N28" s="757"/>
      <c r="O28" s="760"/>
      <c r="P28" s="758">
        <f>(K28-J28)/J28</f>
        <v>0</v>
      </c>
    </row>
    <row r="29" spans="2:16" s="731" customFormat="1" ht="15" customHeight="1">
      <c r="B29" s="750" t="s">
        <v>203</v>
      </c>
      <c r="C29" s="751">
        <v>24</v>
      </c>
      <c r="D29" s="759" t="s">
        <v>220</v>
      </c>
      <c r="E29" s="753" t="s">
        <v>205</v>
      </c>
      <c r="F29" s="788">
        <v>0.8</v>
      </c>
      <c r="G29" s="754">
        <v>341.38858988159308</v>
      </c>
      <c r="H29" s="721"/>
      <c r="I29" s="774" t="e">
        <f>('Formulacion Ene 24'!R7+'Formulacion Ene 24'!R53+'Formulacion Ene 24'!R16+'Formulacion Ene 24'!R62)</f>
        <v>#REF!</v>
      </c>
      <c r="J29" s="754" t="e">
        <f t="shared" ref="J29:J40" si="4">(G29+H29-I29)</f>
        <v>#REF!</v>
      </c>
      <c r="K29" s="755">
        <f>116.5/F29</f>
        <v>145.625</v>
      </c>
      <c r="L29" s="754" t="e">
        <f t="shared" si="2"/>
        <v>#REF!</v>
      </c>
      <c r="M29" s="767">
        <f>(32*20.5)/0.929</f>
        <v>706.13562970936482</v>
      </c>
      <c r="N29" s="757">
        <f t="shared" ref="N29:N37" si="5">M29*K29</f>
        <v>102831.00107642626</v>
      </c>
      <c r="O29" s="754"/>
      <c r="P29" s="758" t="e">
        <f t="shared" si="3"/>
        <v>#REF!</v>
      </c>
    </row>
    <row r="30" spans="2:16" s="731" customFormat="1" ht="15" customHeight="1">
      <c r="B30" s="750" t="s">
        <v>203</v>
      </c>
      <c r="C30" s="751">
        <v>25</v>
      </c>
      <c r="D30" s="759" t="s">
        <v>221</v>
      </c>
      <c r="E30" s="753" t="s">
        <v>205</v>
      </c>
      <c r="F30" s="788">
        <v>0.96399999999999997</v>
      </c>
      <c r="G30" s="754">
        <v>237.13692946058092</v>
      </c>
      <c r="H30" s="721"/>
      <c r="I30" s="721" t="e">
        <f>('Formulacion Ene 24'!R9+'Formulacion Ene 24'!R55+'Formulacion Ene 24'!R85+'Formulacion Ene 24'!R93)</f>
        <v>#REF!</v>
      </c>
      <c r="J30" s="754" t="e">
        <f t="shared" si="4"/>
        <v>#REF!</v>
      </c>
      <c r="K30" s="755">
        <f>95/F30</f>
        <v>98.54771784232365</v>
      </c>
      <c r="L30" s="857" t="e">
        <f t="shared" si="2"/>
        <v>#REF!</v>
      </c>
      <c r="M30" s="767">
        <f>(46*20.5)/0.964</f>
        <v>978.21576763485484</v>
      </c>
      <c r="N30" s="757">
        <f t="shared" si="5"/>
        <v>96400.93145779171</v>
      </c>
      <c r="O30" s="857">
        <v>-3.5892116182572664</v>
      </c>
      <c r="P30" s="758" t="e">
        <f t="shared" si="3"/>
        <v>#REF!</v>
      </c>
    </row>
    <row r="31" spans="2:16" s="731" customFormat="1" ht="15" customHeight="1">
      <c r="B31" s="750" t="s">
        <v>203</v>
      </c>
      <c r="C31" s="751">
        <v>26</v>
      </c>
      <c r="D31" s="759" t="s">
        <v>222</v>
      </c>
      <c r="E31" s="753" t="s">
        <v>205</v>
      </c>
      <c r="F31" s="788">
        <v>1.05</v>
      </c>
      <c r="G31" s="754">
        <v>63.730569948186528</v>
      </c>
      <c r="H31" s="721"/>
      <c r="I31" s="721" t="e">
        <f>'Formulacion Ene 24'!R17+'Formulacion Ene 24'!R63</f>
        <v>#REF!</v>
      </c>
      <c r="J31" s="754" t="e">
        <f t="shared" si="4"/>
        <v>#REF!</v>
      </c>
      <c r="K31" s="755">
        <v>0</v>
      </c>
      <c r="L31" s="754" t="e">
        <f t="shared" si="2"/>
        <v>#REF!</v>
      </c>
      <c r="M31" s="767">
        <f>(49.7*20.5)/0.965</f>
        <v>1055.8031088082903</v>
      </c>
      <c r="N31" s="757">
        <f t="shared" si="5"/>
        <v>0</v>
      </c>
      <c r="O31" s="754"/>
      <c r="P31" s="758" t="e">
        <f t="shared" si="3"/>
        <v>#REF!</v>
      </c>
    </row>
    <row r="32" spans="2:16" s="731" customFormat="1" ht="15" customHeight="1">
      <c r="B32" s="750" t="s">
        <v>203</v>
      </c>
      <c r="C32" s="751">
        <v>27</v>
      </c>
      <c r="D32" s="759" t="s">
        <v>223</v>
      </c>
      <c r="E32" s="753" t="s">
        <v>205</v>
      </c>
      <c r="F32" s="788">
        <v>0.93700000000000006</v>
      </c>
      <c r="G32" s="754">
        <v>447.86552828175024</v>
      </c>
      <c r="H32" s="721"/>
      <c r="I32" s="721" t="e">
        <f>('Formulacion Ene 24'!R8+'Formulacion Ene 24'!R54+'Formulacion Ene 24'!R92+'Formulacion Ene 24'!R101)</f>
        <v>#REF!</v>
      </c>
      <c r="J32" s="754" t="e">
        <f t="shared" si="4"/>
        <v>#REF!</v>
      </c>
      <c r="K32" s="755">
        <f>284.6/F32</f>
        <v>303.73532550693704</v>
      </c>
      <c r="L32" s="857" t="e">
        <f t="shared" si="2"/>
        <v>#REF!</v>
      </c>
      <c r="M32" s="767">
        <f>(18*20.5)/0.937</f>
        <v>393.81003201707574</v>
      </c>
      <c r="N32" s="757">
        <f t="shared" si="5"/>
        <v>119614.0182626038</v>
      </c>
      <c r="O32" s="857">
        <v>-9.1302027748131991</v>
      </c>
      <c r="P32" s="758" t="e">
        <f t="shared" si="3"/>
        <v>#REF!</v>
      </c>
    </row>
    <row r="33" spans="2:19" s="731" customFormat="1" ht="15" customHeight="1">
      <c r="B33" s="750" t="s">
        <v>203</v>
      </c>
      <c r="C33" s="751">
        <v>28</v>
      </c>
      <c r="D33" s="759" t="s">
        <v>224</v>
      </c>
      <c r="E33" s="753" t="s">
        <v>205</v>
      </c>
      <c r="F33" s="788">
        <v>1.046</v>
      </c>
      <c r="G33" s="754">
        <v>361.32887189292541</v>
      </c>
      <c r="H33" s="721"/>
      <c r="I33" s="721" t="e">
        <f>'Formulacion Ene 24'!R6+'Formulacion Ene 24'!R52+'Formulacion Ene 24'!R91</f>
        <v>#REF!</v>
      </c>
      <c r="J33" s="754" t="e">
        <f t="shared" si="4"/>
        <v>#REF!</v>
      </c>
      <c r="K33" s="755">
        <f>256.85/1.046</f>
        <v>245.55449330783941</v>
      </c>
      <c r="L33" s="754" t="e">
        <f t="shared" si="2"/>
        <v>#REF!</v>
      </c>
      <c r="M33" s="767">
        <f>(22.5*20.5)/1.046</f>
        <v>440.96558317399615</v>
      </c>
      <c r="N33" s="757">
        <f t="shared" si="5"/>
        <v>108281.08034248654</v>
      </c>
      <c r="O33" s="754"/>
      <c r="P33" s="758" t="e">
        <f t="shared" si="3"/>
        <v>#REF!</v>
      </c>
      <c r="S33" s="775"/>
    </row>
    <row r="34" spans="2:19" s="731" customFormat="1" ht="15" customHeight="1">
      <c r="B34" s="750" t="s">
        <v>640</v>
      </c>
      <c r="C34" s="751">
        <v>29</v>
      </c>
      <c r="D34" s="776" t="s">
        <v>225</v>
      </c>
      <c r="E34" s="753" t="s">
        <v>205</v>
      </c>
      <c r="F34" s="788">
        <v>0.92400000000000004</v>
      </c>
      <c r="G34" s="754">
        <v>108.2</v>
      </c>
      <c r="H34" s="721"/>
      <c r="I34" s="721"/>
      <c r="J34" s="754">
        <f t="shared" si="4"/>
        <v>108.2</v>
      </c>
      <c r="K34" s="755">
        <v>108.2</v>
      </c>
      <c r="L34" s="754">
        <f t="shared" si="2"/>
        <v>0</v>
      </c>
      <c r="M34" s="767">
        <v>110.93</v>
      </c>
      <c r="N34" s="757">
        <f t="shared" si="5"/>
        <v>12002.626</v>
      </c>
      <c r="O34" s="754"/>
      <c r="P34" s="758">
        <f t="shared" si="3"/>
        <v>0</v>
      </c>
    </row>
    <row r="35" spans="2:19" s="731" customFormat="1" ht="15" customHeight="1">
      <c r="B35" s="750" t="s">
        <v>203</v>
      </c>
      <c r="C35" s="751">
        <v>30</v>
      </c>
      <c r="D35" s="759" t="s">
        <v>226</v>
      </c>
      <c r="E35" s="753" t="s">
        <v>205</v>
      </c>
      <c r="F35" s="788">
        <v>0.874</v>
      </c>
      <c r="G35" s="754">
        <v>275.4004576659039</v>
      </c>
      <c r="H35" s="721"/>
      <c r="I35" s="721" t="e">
        <f>('Formulacion Ene 24'!R10+'Formulacion Ene 24'!R56+'Formulacion Ene 24'!R94)</f>
        <v>#REF!</v>
      </c>
      <c r="J35" s="754" t="e">
        <f t="shared" si="4"/>
        <v>#REF!</v>
      </c>
      <c r="K35" s="755">
        <f>120.55/F35</f>
        <v>137.92906178489702</v>
      </c>
      <c r="L35" s="857" t="e">
        <f t="shared" si="2"/>
        <v>#REF!</v>
      </c>
      <c r="M35" s="767">
        <f>(78.5*20.5)/0.874</f>
        <v>1841.2471395881007</v>
      </c>
      <c r="N35" s="757">
        <f t="shared" si="5"/>
        <v>253961.49047751204</v>
      </c>
      <c r="O35" s="857">
        <v>-2.4713958810068846</v>
      </c>
      <c r="P35" s="758" t="e">
        <f t="shared" si="3"/>
        <v>#REF!</v>
      </c>
    </row>
    <row r="36" spans="2:19" s="731" customFormat="1" ht="15" customHeight="1">
      <c r="B36" s="750" t="s">
        <v>203</v>
      </c>
      <c r="C36" s="751">
        <v>31</v>
      </c>
      <c r="D36" s="776" t="s">
        <v>227</v>
      </c>
      <c r="E36" s="753" t="s">
        <v>205</v>
      </c>
      <c r="F36" s="788">
        <v>0.91100000000000003</v>
      </c>
      <c r="G36" s="754">
        <v>220.4</v>
      </c>
      <c r="H36" s="721"/>
      <c r="I36" s="721">
        <f>('Formulacion Ene 24'!R100)</f>
        <v>0</v>
      </c>
      <c r="J36" s="754">
        <f t="shared" si="4"/>
        <v>220.4</v>
      </c>
      <c r="K36" s="755">
        <v>220.4</v>
      </c>
      <c r="L36" s="754">
        <f t="shared" si="2"/>
        <v>0</v>
      </c>
      <c r="M36" s="773">
        <f>(24*20.5)/0.9105</f>
        <v>540.36243822075789</v>
      </c>
      <c r="N36" s="757">
        <f t="shared" si="5"/>
        <v>119095.88138385504</v>
      </c>
      <c r="O36" s="754"/>
      <c r="P36" s="749"/>
    </row>
    <row r="37" spans="2:19" s="731" customFormat="1" ht="15" customHeight="1">
      <c r="B37" s="750" t="s">
        <v>640</v>
      </c>
      <c r="C37" s="751">
        <v>32</v>
      </c>
      <c r="D37" s="766" t="s">
        <v>228</v>
      </c>
      <c r="E37" s="753" t="s">
        <v>207</v>
      </c>
      <c r="F37" s="753"/>
      <c r="G37" s="762">
        <v>16.399999999999999</v>
      </c>
      <c r="H37" s="725"/>
      <c r="I37" s="777" t="e">
        <f>'Formulacion Ene 24'!R43</f>
        <v>#REF!</v>
      </c>
      <c r="J37" s="760" t="e">
        <f t="shared" si="4"/>
        <v>#REF!</v>
      </c>
      <c r="K37" s="765">
        <v>15.65</v>
      </c>
      <c r="L37" s="760" t="e">
        <f t="shared" si="2"/>
        <v>#REF!</v>
      </c>
      <c r="M37" s="767">
        <f>75.75/50</f>
        <v>1.5149999999999999</v>
      </c>
      <c r="N37" s="757">
        <f t="shared" si="5"/>
        <v>23.70975</v>
      </c>
      <c r="O37" s="760">
        <v>-0.74999999999999822</v>
      </c>
      <c r="P37" s="749"/>
    </row>
    <row r="38" spans="2:19" s="731" customFormat="1" ht="15" customHeight="1">
      <c r="B38" s="750" t="s">
        <v>203</v>
      </c>
      <c r="C38" s="751">
        <v>33</v>
      </c>
      <c r="D38" s="752" t="s">
        <v>269</v>
      </c>
      <c r="E38" s="753" t="s">
        <v>207</v>
      </c>
      <c r="F38" s="753"/>
      <c r="G38" s="760">
        <v>400</v>
      </c>
      <c r="H38" s="722"/>
      <c r="I38" s="778" t="e">
        <f>('Formulacion Ene 24'!R23+'Formulacion Ene 24'!R69)+12.5</f>
        <v>#REF!</v>
      </c>
      <c r="J38" s="760" t="e">
        <f t="shared" si="4"/>
        <v>#REF!</v>
      </c>
      <c r="K38" s="765">
        <v>175</v>
      </c>
      <c r="L38" s="760" t="e">
        <f t="shared" si="2"/>
        <v>#REF!</v>
      </c>
      <c r="M38" s="787">
        <f>3382.6/250</f>
        <v>13.5304</v>
      </c>
      <c r="N38" s="757"/>
      <c r="O38" s="760"/>
      <c r="P38" s="758" t="e">
        <f>(K38-J38)/J38</f>
        <v>#REF!</v>
      </c>
    </row>
    <row r="39" spans="2:19" s="731" customFormat="1" ht="15" customHeight="1">
      <c r="B39" s="779" t="s">
        <v>229</v>
      </c>
      <c r="C39" s="780">
        <v>1</v>
      </c>
      <c r="D39" s="781" t="s">
        <v>570</v>
      </c>
      <c r="E39" s="753" t="s">
        <v>205</v>
      </c>
      <c r="F39" s="753"/>
      <c r="G39" s="755">
        <v>0</v>
      </c>
      <c r="H39" s="724" t="e">
        <f>('Formulacion Ene 24'!Q5)</f>
        <v>#REF!</v>
      </c>
      <c r="I39" s="724">
        <f>200+400+500+400+400+800</f>
        <v>2700</v>
      </c>
      <c r="J39" s="755" t="e">
        <f t="shared" si="4"/>
        <v>#REF!</v>
      </c>
      <c r="K39" s="755">
        <v>300</v>
      </c>
      <c r="L39" s="755" t="e">
        <f t="shared" si="2"/>
        <v>#REF!</v>
      </c>
      <c r="M39" s="782">
        <v>299</v>
      </c>
      <c r="N39" s="757">
        <f>M39*K39</f>
        <v>89700</v>
      </c>
      <c r="O39" s="755"/>
      <c r="P39" s="749"/>
    </row>
    <row r="40" spans="2:19" s="731" customFormat="1" ht="15" customHeight="1">
      <c r="B40" s="779" t="s">
        <v>229</v>
      </c>
      <c r="C40" s="780">
        <v>2</v>
      </c>
      <c r="D40" s="781" t="s">
        <v>51</v>
      </c>
      <c r="E40" s="753" t="s">
        <v>205</v>
      </c>
      <c r="F40" s="753"/>
      <c r="G40" s="755">
        <v>0</v>
      </c>
      <c r="H40" s="724" t="e">
        <f>'Formulacion Ene 24'!Q15</f>
        <v>#REF!</v>
      </c>
      <c r="I40" s="724">
        <f>500+200</f>
        <v>700</v>
      </c>
      <c r="J40" s="755" t="e">
        <f t="shared" si="4"/>
        <v>#REF!</v>
      </c>
      <c r="K40" s="755">
        <v>100</v>
      </c>
      <c r="L40" s="755" t="e">
        <f t="shared" si="2"/>
        <v>#REF!</v>
      </c>
      <c r="M40" s="782">
        <v>240</v>
      </c>
      <c r="N40" s="757">
        <f>M40*K40</f>
        <v>24000</v>
      </c>
      <c r="O40" s="755"/>
      <c r="P40" s="749"/>
    </row>
    <row r="41" spans="2:19" s="731" customFormat="1" ht="15" customHeight="1">
      <c r="B41" s="779" t="s">
        <v>229</v>
      </c>
      <c r="C41" s="780">
        <v>3</v>
      </c>
      <c r="D41" s="781" t="s">
        <v>443</v>
      </c>
      <c r="E41" s="753" t="s">
        <v>205</v>
      </c>
      <c r="F41" s="753"/>
      <c r="G41" s="755">
        <v>580</v>
      </c>
      <c r="H41" s="724" t="e">
        <f>('Formulacion Ene 24'!Q22)</f>
        <v>#REF!</v>
      </c>
      <c r="I41" s="724">
        <f>400+1000+400</f>
        <v>1800</v>
      </c>
      <c r="J41" s="755" t="e">
        <f>(G41+H41)-I41</f>
        <v>#REF!</v>
      </c>
      <c r="K41" s="755">
        <v>680</v>
      </c>
      <c r="L41" s="755" t="e">
        <f t="shared" si="2"/>
        <v>#REF!</v>
      </c>
      <c r="M41" s="782"/>
      <c r="N41" s="757"/>
      <c r="O41" s="755"/>
      <c r="P41" s="749"/>
    </row>
    <row r="42" spans="2:19" s="731" customFormat="1" ht="15" customHeight="1">
      <c r="B42" s="779" t="s">
        <v>229</v>
      </c>
      <c r="C42" s="780">
        <v>4</v>
      </c>
      <c r="D42" s="781" t="s">
        <v>58</v>
      </c>
      <c r="E42" s="753" t="s">
        <v>205</v>
      </c>
      <c r="F42" s="753"/>
      <c r="G42" s="755">
        <v>940</v>
      </c>
      <c r="H42" s="724" t="e">
        <f>'Formulacion Ene 24'!Q30</f>
        <v>#REF!</v>
      </c>
      <c r="I42" s="724">
        <f>940+2000+1000</f>
        <v>3940</v>
      </c>
      <c r="J42" s="755" t="e">
        <f>(G42+H42)-I42</f>
        <v>#REF!</v>
      </c>
      <c r="K42" s="755">
        <v>1000</v>
      </c>
      <c r="L42" s="755" t="e">
        <f t="shared" si="2"/>
        <v>#REF!</v>
      </c>
      <c r="M42" s="782">
        <v>40</v>
      </c>
      <c r="N42" s="757">
        <f>M42*K42</f>
        <v>40000</v>
      </c>
      <c r="O42" s="755"/>
      <c r="P42" s="749"/>
    </row>
    <row r="43" spans="2:19" s="731" customFormat="1" ht="15" customHeight="1">
      <c r="B43" s="779" t="s">
        <v>229</v>
      </c>
      <c r="C43" s="780">
        <v>5</v>
      </c>
      <c r="D43" s="781" t="s">
        <v>166</v>
      </c>
      <c r="E43" s="753" t="s">
        <v>205</v>
      </c>
      <c r="F43" s="753"/>
      <c r="G43" s="755">
        <v>440</v>
      </c>
      <c r="H43" s="724" t="e">
        <f>'Formulacion Ene 24'!Q39</f>
        <v>#REF!</v>
      </c>
      <c r="I43" s="724"/>
      <c r="J43" s="755" t="e">
        <f>(G43+H43-I43)</f>
        <v>#REF!</v>
      </c>
      <c r="K43" s="755">
        <v>440</v>
      </c>
      <c r="L43" s="755" t="e">
        <f>(K43-J43)</f>
        <v>#REF!</v>
      </c>
      <c r="M43" s="782">
        <v>15</v>
      </c>
      <c r="N43" s="757">
        <f>M43*K43</f>
        <v>6600</v>
      </c>
      <c r="O43" s="755"/>
      <c r="P43" s="758" t="e">
        <f>(K43-J43)/J43</f>
        <v>#REF!</v>
      </c>
    </row>
    <row r="44" spans="2:19" s="731" customFormat="1" ht="15" customHeight="1">
      <c r="B44" s="779" t="s">
        <v>229</v>
      </c>
      <c r="C44" s="780">
        <v>6</v>
      </c>
      <c r="D44" s="781" t="s">
        <v>70</v>
      </c>
      <c r="E44" s="753" t="s">
        <v>205</v>
      </c>
      <c r="F44" s="753"/>
      <c r="G44" s="755">
        <v>0</v>
      </c>
      <c r="H44" s="724" t="e">
        <f>'Formulacion Ene 24'!Q46</f>
        <v>#REF!</v>
      </c>
      <c r="I44" s="724"/>
      <c r="J44" s="755" t="e">
        <f>(G44+H44)-I44</f>
        <v>#REF!</v>
      </c>
      <c r="K44" s="755">
        <v>0</v>
      </c>
      <c r="L44" s="755" t="e">
        <f t="shared" si="2"/>
        <v>#REF!</v>
      </c>
      <c r="M44" s="782">
        <v>7</v>
      </c>
      <c r="N44" s="757">
        <f>M44*K44</f>
        <v>0</v>
      </c>
      <c r="O44" s="755"/>
      <c r="P44" s="749"/>
    </row>
    <row r="45" spans="2:19" s="731" customFormat="1" ht="15" customHeight="1">
      <c r="B45" s="779" t="s">
        <v>229</v>
      </c>
      <c r="C45" s="780">
        <v>7</v>
      </c>
      <c r="D45" s="781" t="s">
        <v>606</v>
      </c>
      <c r="E45" s="753" t="s">
        <v>205</v>
      </c>
      <c r="F45" s="753"/>
      <c r="G45" s="755">
        <v>0</v>
      </c>
      <c r="H45" s="724">
        <f>'Formulacion Ene 24'!Q84</f>
        <v>0</v>
      </c>
      <c r="I45" s="724"/>
      <c r="J45" s="755">
        <f>(G45+H45-I45)</f>
        <v>0</v>
      </c>
      <c r="K45" s="755">
        <v>0</v>
      </c>
      <c r="L45" s="755">
        <f t="shared" si="2"/>
        <v>0</v>
      </c>
      <c r="M45" s="782">
        <v>265</v>
      </c>
      <c r="N45" s="757">
        <f>M45*K45</f>
        <v>0</v>
      </c>
      <c r="O45" s="755"/>
      <c r="P45" s="749"/>
    </row>
  </sheetData>
  <autoFilter ref="C3:L45" xr:uid="{00000000-0001-0000-0000-000000000000}"/>
  <sortState xmlns:xlrd2="http://schemas.microsoft.com/office/spreadsheetml/2017/richdata2" ref="B6:O38">
    <sortCondition ref="D6:D38"/>
  </sortState>
  <conditionalFormatting sqref="G4:G45">
    <cfRule type="notContainsBlanks" dxfId="57" priority="70">
      <formula>LEN(TRIM(G4))&gt;0</formula>
    </cfRule>
  </conditionalFormatting>
  <conditionalFormatting sqref="H39:H45">
    <cfRule type="cellIs" dxfId="56" priority="60" stopIfTrue="1" operator="equal">
      <formula>0</formula>
    </cfRule>
    <cfRule type="notContainsBlanks" dxfId="55" priority="72">
      <formula>LEN(TRIM(H39))&gt;0</formula>
    </cfRule>
  </conditionalFormatting>
  <conditionalFormatting sqref="I5:I24 I29:I45 I26:I27">
    <cfRule type="cellIs" dxfId="54" priority="67" stopIfTrue="1" operator="equal">
      <formula>0</formula>
    </cfRule>
    <cfRule type="notContainsBlanks" dxfId="53" priority="69">
      <formula>LEN(TRIM(I5))&gt;0</formula>
    </cfRule>
  </conditionalFormatting>
  <conditionalFormatting sqref="J5:J45">
    <cfRule type="cellIs" dxfId="52" priority="62" stopIfTrue="1" operator="equal">
      <formula>0</formula>
    </cfRule>
    <cfRule type="notContainsBlanks" dxfId="51" priority="71">
      <formula>LEN(TRIM(J5))&gt;0</formula>
    </cfRule>
  </conditionalFormatting>
  <conditionalFormatting sqref="N4:N45">
    <cfRule type="cellIs" dxfId="50" priority="47" stopIfTrue="1" operator="lessThanOrEqual">
      <formula>0</formula>
    </cfRule>
    <cfRule type="notContainsBlanks" dxfId="49" priority="49">
      <formula>LEN(TRIM(N4))&gt;0</formula>
    </cfRule>
  </conditionalFormatting>
  <conditionalFormatting sqref="H5:H38">
    <cfRule type="cellIs" dxfId="48" priority="37" stopIfTrue="1" operator="equal">
      <formula>0</formula>
    </cfRule>
    <cfRule type="notContainsBlanks" dxfId="47" priority="38">
      <formula>LEN(TRIM(H5))&gt;0</formula>
    </cfRule>
  </conditionalFormatting>
  <conditionalFormatting sqref="I28">
    <cfRule type="cellIs" dxfId="46" priority="35" stopIfTrue="1" operator="equal">
      <formula>0</formula>
    </cfRule>
    <cfRule type="notContainsBlanks" dxfId="45" priority="36">
      <formula>LEN(TRIM(I28))&gt;0</formula>
    </cfRule>
  </conditionalFormatting>
  <conditionalFormatting sqref="I25">
    <cfRule type="cellIs" dxfId="44" priority="33" stopIfTrue="1" operator="equal">
      <formula>0</formula>
    </cfRule>
    <cfRule type="notContainsBlanks" dxfId="43" priority="34">
      <formula>LEN(TRIM(I25))&gt;0</formula>
    </cfRule>
  </conditionalFormatting>
  <conditionalFormatting sqref="L5:L45">
    <cfRule type="cellIs" dxfId="42" priority="25" operator="equal">
      <formula>0</formula>
    </cfRule>
    <cfRule type="cellIs" dxfId="41" priority="26" operator="greaterThan">
      <formula>0</formula>
    </cfRule>
    <cfRule type="cellIs" dxfId="40" priority="27" operator="lessThan">
      <formula>0</formula>
    </cfRule>
  </conditionalFormatting>
  <pageMargins left="1.4960629921259843" right="0.70866141732283472" top="0.74803149606299213" bottom="0.74803149606299213" header="0.31496062992125984" footer="0.31496062992125984"/>
  <pageSetup paperSize="9" scale="74" orientation="landscape" horizontalDpi="300" verticalDpi="300" r:id="rId1"/>
  <headerFooter>
    <oddFooter>&amp;C&amp;P DE &amp;N&amp;R&amp;D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90BFB-97A5-4BE7-9AEB-7AE5A309AA28}">
  <sheetPr codeName="Hoja7">
    <tabColor theme="6" tint="-0.499984740745262"/>
  </sheetPr>
  <dimension ref="A1:AJ250"/>
  <sheetViews>
    <sheetView workbookViewId="0"/>
  </sheetViews>
  <sheetFormatPr baseColWidth="10" defaultColWidth="14.28515625" defaultRowHeight="14.25" outlineLevelRow="1" outlineLevelCol="1"/>
  <cols>
    <col min="1" max="1" width="7.140625" style="273" bestFit="1" customWidth="1"/>
    <col min="2" max="2" width="19" style="276" customWidth="1"/>
    <col min="3" max="3" width="14.140625" style="276" customWidth="1"/>
    <col min="4" max="4" width="11.5703125" style="276" customWidth="1"/>
    <col min="5" max="5" width="13.42578125" style="276" customWidth="1"/>
    <col min="6" max="6" width="15.42578125" style="276" customWidth="1"/>
    <col min="7" max="7" width="17.5703125" style="276" customWidth="1"/>
    <col min="8" max="8" width="17" style="273" customWidth="1"/>
    <col min="9" max="9" width="9.5703125" style="273" customWidth="1"/>
    <col min="10" max="10" width="7" style="273" customWidth="1"/>
    <col min="11" max="11" width="24.28515625" style="284" customWidth="1"/>
    <col min="12" max="12" width="12.28515625" style="273" customWidth="1"/>
    <col min="13" max="13" width="12.5703125" style="273" customWidth="1"/>
    <col min="14" max="14" width="13" style="273" customWidth="1" outlineLevel="1"/>
    <col min="15" max="15" width="13.42578125" style="273" customWidth="1" outlineLevel="1"/>
    <col min="16" max="16" width="19.85546875" style="273" customWidth="1" outlineLevel="1"/>
    <col min="17" max="17" width="20.7109375" style="273" customWidth="1"/>
    <col min="18" max="18" width="14.42578125" style="273" customWidth="1"/>
    <col min="19" max="19" width="14.42578125" style="273" customWidth="1" collapsed="1"/>
    <col min="20" max="20" width="18.28515625" style="273" customWidth="1"/>
    <col min="21" max="21" width="13.7109375" style="273" customWidth="1"/>
    <col min="22" max="22" width="14.28515625" style="273" customWidth="1"/>
    <col min="23" max="23" width="8.85546875" style="276" customWidth="1"/>
    <col min="24" max="36" width="14.28515625" style="276"/>
    <col min="37" max="16384" width="14.28515625" style="273"/>
  </cols>
  <sheetData>
    <row r="1" spans="2:36" s="203" customFormat="1" ht="18" customHeight="1">
      <c r="K1" s="204"/>
      <c r="M1" s="203" t="s">
        <v>230</v>
      </c>
      <c r="N1" s="205">
        <v>18</v>
      </c>
      <c r="R1" s="206"/>
      <c r="T1" s="206"/>
      <c r="U1" s="206"/>
      <c r="V1" s="206"/>
      <c r="W1" s="206"/>
      <c r="X1" s="206"/>
      <c r="Y1" s="206"/>
      <c r="Z1" s="206"/>
      <c r="AA1" s="206"/>
      <c r="AB1" s="206"/>
      <c r="AC1" s="206"/>
      <c r="AD1" s="206"/>
      <c r="AE1" s="206"/>
      <c r="AF1" s="206"/>
      <c r="AG1" s="206"/>
      <c r="AH1" s="206"/>
      <c r="AI1" s="206"/>
      <c r="AJ1" s="206"/>
    </row>
    <row r="2" spans="2:36" s="203" customFormat="1" ht="18" customHeight="1">
      <c r="K2" s="204"/>
      <c r="M2" s="207" t="s">
        <v>231</v>
      </c>
      <c r="N2" s="207" t="s">
        <v>232</v>
      </c>
      <c r="O2" s="207" t="s">
        <v>233</v>
      </c>
      <c r="Q2" s="208"/>
      <c r="R2" s="207" t="s">
        <v>231</v>
      </c>
      <c r="S2" s="208"/>
      <c r="T2" s="207"/>
      <c r="U2" s="207"/>
      <c r="V2" s="207"/>
      <c r="W2" s="207"/>
      <c r="X2" s="207"/>
      <c r="Y2" s="207"/>
      <c r="Z2" s="207"/>
      <c r="AA2" s="207"/>
      <c r="AB2" s="207"/>
      <c r="AC2" s="207"/>
      <c r="AD2" s="207"/>
      <c r="AE2" s="207"/>
      <c r="AF2" s="207"/>
      <c r="AG2" s="207"/>
      <c r="AH2" s="207"/>
      <c r="AI2" s="207"/>
      <c r="AJ2" s="207"/>
    </row>
    <row r="3" spans="2:36" s="213" customFormat="1" ht="18" customHeight="1">
      <c r="B3" s="203"/>
      <c r="C3" s="203"/>
      <c r="D3" s="203"/>
      <c r="E3" s="203"/>
      <c r="F3" s="203"/>
      <c r="G3" s="203"/>
      <c r="H3" s="209" t="s">
        <v>234</v>
      </c>
      <c r="I3" s="209" t="s">
        <v>234</v>
      </c>
      <c r="J3" s="209" t="s">
        <v>234</v>
      </c>
      <c r="K3" s="209" t="s">
        <v>234</v>
      </c>
      <c r="L3" s="209" t="s">
        <v>234</v>
      </c>
      <c r="M3" s="209" t="s">
        <v>234</v>
      </c>
      <c r="N3" s="209" t="s">
        <v>234</v>
      </c>
      <c r="O3" s="209" t="s">
        <v>234</v>
      </c>
      <c r="P3" s="209" t="s">
        <v>234</v>
      </c>
      <c r="Q3" s="210" t="s">
        <v>235</v>
      </c>
      <c r="R3" s="210" t="s">
        <v>236</v>
      </c>
      <c r="S3" s="211"/>
      <c r="T3" s="203"/>
      <c r="U3" s="203"/>
      <c r="V3" s="203"/>
      <c r="W3" s="203"/>
      <c r="X3" s="203"/>
      <c r="Y3" s="212"/>
      <c r="Z3" s="212"/>
      <c r="AA3" s="212"/>
      <c r="AB3" s="212"/>
      <c r="AC3" s="212"/>
      <c r="AD3" s="212"/>
      <c r="AE3" s="212"/>
      <c r="AF3" s="212"/>
      <c r="AG3" s="212"/>
      <c r="AH3" s="203"/>
      <c r="AI3" s="203"/>
      <c r="AJ3" s="203"/>
    </row>
    <row r="4" spans="2:36" s="213" customFormat="1" ht="18" customHeight="1">
      <c r="B4" s="203"/>
      <c r="C4" s="203"/>
      <c r="D4" s="203"/>
      <c r="E4" s="203"/>
      <c r="F4" s="203"/>
      <c r="G4" s="203"/>
      <c r="H4" s="203"/>
      <c r="I4" s="203"/>
      <c r="J4" s="214" t="s">
        <v>0</v>
      </c>
      <c r="K4" s="215" t="s">
        <v>237</v>
      </c>
      <c r="L4" s="214" t="s">
        <v>238</v>
      </c>
      <c r="M4" s="216"/>
      <c r="N4" s="659"/>
      <c r="O4" s="216"/>
      <c r="P4" s="216"/>
      <c r="Q4" s="214"/>
      <c r="R4" s="660"/>
      <c r="S4" s="214" t="s">
        <v>238</v>
      </c>
      <c r="T4" s="217"/>
      <c r="U4" s="217" t="s">
        <v>239</v>
      </c>
      <c r="V4" s="217"/>
      <c r="W4" s="212"/>
      <c r="X4" s="218"/>
      <c r="Y4" s="212"/>
      <c r="Z4" s="212"/>
      <c r="AA4" s="212"/>
      <c r="AB4" s="212"/>
      <c r="AC4" s="212"/>
      <c r="AD4" s="212"/>
      <c r="AE4" s="212"/>
      <c r="AF4" s="212"/>
      <c r="AG4" s="212"/>
      <c r="AH4" s="203"/>
      <c r="AI4" s="203"/>
      <c r="AJ4" s="217"/>
    </row>
    <row r="5" spans="2:36" s="213" customFormat="1" ht="18" customHeight="1">
      <c r="C5" s="203" t="s">
        <v>567</v>
      </c>
      <c r="D5" s="203"/>
      <c r="E5" s="203" t="s">
        <v>567</v>
      </c>
      <c r="F5" s="203" t="s">
        <v>568</v>
      </c>
      <c r="G5" s="203" t="s">
        <v>240</v>
      </c>
      <c r="H5" s="203">
        <f>1/500</f>
        <v>2E-3</v>
      </c>
      <c r="I5" s="219" t="s">
        <v>250</v>
      </c>
      <c r="J5" s="661" t="s">
        <v>639</v>
      </c>
      <c r="K5" s="662" t="s">
        <v>637</v>
      </c>
      <c r="L5" s="663">
        <v>200</v>
      </c>
      <c r="M5" s="664" t="s">
        <v>242</v>
      </c>
      <c r="N5" s="665"/>
      <c r="O5" s="455"/>
      <c r="P5" s="456">
        <f>SUM(O6:O14)</f>
        <v>25406.0285027955</v>
      </c>
      <c r="Q5" s="457" t="e">
        <f>(#REF!)</f>
        <v>#REF!</v>
      </c>
      <c r="R5" s="223" t="s">
        <v>242</v>
      </c>
      <c r="S5" s="254"/>
      <c r="T5" s="225"/>
      <c r="U5" s="226">
        <f>(P5/L5)</f>
        <v>127.03014251397749</v>
      </c>
      <c r="V5" s="227">
        <v>1</v>
      </c>
      <c r="W5" s="228"/>
      <c r="X5" s="228"/>
      <c r="Y5" s="228"/>
      <c r="Z5" s="228"/>
      <c r="AA5" s="228"/>
      <c r="AB5" s="228"/>
      <c r="AC5" s="228"/>
      <c r="AD5" s="228"/>
      <c r="AE5" s="228"/>
      <c r="AF5" s="228"/>
      <c r="AG5" s="228"/>
      <c r="AH5" s="228"/>
      <c r="AI5" s="228"/>
      <c r="AJ5" s="228"/>
    </row>
    <row r="6" spans="2:36" s="213" customFormat="1" ht="18" customHeight="1" outlineLevel="1">
      <c r="C6" s="420">
        <f t="shared" ref="C6:C13" si="0">(D6/D$14)</f>
        <v>4.299484144110817E-2</v>
      </c>
      <c r="D6" s="203">
        <f>(M6*1.046)</f>
        <v>8.3680000000000003</v>
      </c>
      <c r="E6" s="420">
        <f t="shared" ref="E6:E12" si="1">(F6/F$13)</f>
        <v>4.310557982362153E-2</v>
      </c>
      <c r="F6" s="203">
        <f>(M6*1.046)</f>
        <v>8.3680000000000003</v>
      </c>
      <c r="G6" s="229">
        <f>H6*H5</f>
        <v>80</v>
      </c>
      <c r="H6" s="229">
        <f>(M6/L5)*1000000</f>
        <v>40000</v>
      </c>
      <c r="I6" s="250">
        <f>(M6/L5)</f>
        <v>0.04</v>
      </c>
      <c r="J6" s="415" t="s">
        <v>243</v>
      </c>
      <c r="K6" s="672" t="s">
        <v>224</v>
      </c>
      <c r="L6" s="232"/>
      <c r="M6" s="255">
        <f>(L5*0.04)</f>
        <v>8</v>
      </c>
      <c r="N6" s="234">
        <f>('MP E-S Ene 24'!M32)</f>
        <v>393.81003201707574</v>
      </c>
      <c r="O6" s="234">
        <f t="shared" ref="O6:O14" si="2">(M6*N6)</f>
        <v>3150.4802561366059</v>
      </c>
      <c r="P6" s="235">
        <f>18.5*L5</f>
        <v>3700</v>
      </c>
      <c r="Q6" s="232"/>
      <c r="R6" s="255" t="e">
        <f>(Q5*0.04)</f>
        <v>#REF!</v>
      </c>
      <c r="S6" s="232"/>
      <c r="T6" s="255">
        <f>(S5*0.04)</f>
        <v>0</v>
      </c>
      <c r="U6" s="236"/>
      <c r="V6" s="249">
        <f>((M6*V5)/L5)*1000</f>
        <v>40</v>
      </c>
      <c r="W6" s="238"/>
      <c r="X6" s="238"/>
      <c r="Y6" s="238"/>
      <c r="Z6" s="238"/>
      <c r="AA6" s="238"/>
      <c r="AB6" s="238"/>
      <c r="AC6" s="238"/>
      <c r="AD6" s="238"/>
      <c r="AE6" s="238"/>
      <c r="AF6" s="238"/>
      <c r="AG6" s="238"/>
      <c r="AH6" s="238"/>
      <c r="AI6" s="238"/>
      <c r="AJ6" s="238"/>
    </row>
    <row r="7" spans="2:36" s="213" customFormat="1" ht="18" customHeight="1" outlineLevel="1">
      <c r="C7" s="420">
        <f t="shared" si="0"/>
        <v>4.2958875393057531E-2</v>
      </c>
      <c r="D7" s="203">
        <f>(M7*0.929)</f>
        <v>8.3610000000000007</v>
      </c>
      <c r="E7" s="420">
        <f t="shared" si="1"/>
        <v>4.3069521140690688E-2</v>
      </c>
      <c r="F7" s="203">
        <f>(M7*0.929)</f>
        <v>8.3610000000000007</v>
      </c>
      <c r="G7" s="229">
        <f>H7*H5</f>
        <v>90</v>
      </c>
      <c r="H7" s="229">
        <f>(M7/L5)*1000000</f>
        <v>45000</v>
      </c>
      <c r="I7" s="250">
        <f>(M7/L5)</f>
        <v>4.4999999999999998E-2</v>
      </c>
      <c r="J7" s="415" t="s">
        <v>244</v>
      </c>
      <c r="K7" s="672" t="s">
        <v>220</v>
      </c>
      <c r="L7" s="232"/>
      <c r="M7" s="255">
        <f>(L5*0.045)</f>
        <v>9</v>
      </c>
      <c r="N7" s="234">
        <f>('MP E-S Ene 24'!M27)</f>
        <v>0</v>
      </c>
      <c r="O7" s="234">
        <f t="shared" si="2"/>
        <v>0</v>
      </c>
      <c r="P7" s="239">
        <f>SUM(P5:P6)</f>
        <v>29106.0285027955</v>
      </c>
      <c r="Q7" s="232"/>
      <c r="R7" s="255" t="e">
        <f>(Q5*0.045)</f>
        <v>#REF!</v>
      </c>
      <c r="S7" s="232"/>
      <c r="T7" s="255">
        <f>(S5*0.045)</f>
        <v>0</v>
      </c>
      <c r="U7" s="240"/>
      <c r="V7" s="249">
        <f>((M7*V5)/L5)*1000</f>
        <v>45</v>
      </c>
      <c r="W7" s="241"/>
      <c r="X7" s="241"/>
      <c r="Y7" s="241"/>
      <c r="Z7" s="241"/>
      <c r="AA7" s="241"/>
      <c r="AB7" s="241"/>
      <c r="AC7" s="241"/>
      <c r="AD7" s="241"/>
      <c r="AE7" s="241"/>
      <c r="AF7" s="241"/>
      <c r="AG7" s="241"/>
      <c r="AH7" s="241"/>
      <c r="AI7" s="241"/>
      <c r="AJ7" s="241"/>
    </row>
    <row r="8" spans="2:36" s="213" customFormat="1" ht="18" customHeight="1" outlineLevel="1">
      <c r="C8" s="420">
        <f t="shared" si="0"/>
        <v>4.3328811887292686E-2</v>
      </c>
      <c r="D8" s="203">
        <f>(M8*0.937)</f>
        <v>8.4329999999999998</v>
      </c>
      <c r="E8" s="420">
        <f t="shared" si="1"/>
        <v>4.3440410450836561E-2</v>
      </c>
      <c r="F8" s="203">
        <f>(M8*0.937)</f>
        <v>8.4329999999999998</v>
      </c>
      <c r="G8" s="229">
        <f>H8*H5</f>
        <v>90</v>
      </c>
      <c r="H8" s="229">
        <f>(M8/L5)*1000000</f>
        <v>45000</v>
      </c>
      <c r="I8" s="250">
        <f>(M8/L5)</f>
        <v>4.4999999999999998E-2</v>
      </c>
      <c r="J8" s="415" t="s">
        <v>245</v>
      </c>
      <c r="K8" s="672" t="s">
        <v>223</v>
      </c>
      <c r="L8" s="232"/>
      <c r="M8" s="255">
        <f>(L5*0.045)</f>
        <v>9</v>
      </c>
      <c r="N8" s="234">
        <f>('MP E-S Ene 24'!M31)</f>
        <v>1055.8031088082903</v>
      </c>
      <c r="O8" s="234">
        <f t="shared" si="2"/>
        <v>9502.2279792746122</v>
      </c>
      <c r="P8" s="243">
        <f>SUM(P7)/L5</f>
        <v>145.53014251397749</v>
      </c>
      <c r="Q8" s="232"/>
      <c r="R8" s="255" t="e">
        <f>(Q5*0.045)</f>
        <v>#REF!</v>
      </c>
      <c r="S8" s="232"/>
      <c r="T8" s="255">
        <f>(S5*0.045)</f>
        <v>0</v>
      </c>
      <c r="U8" s="236"/>
      <c r="V8" s="249">
        <f>((M8*V5)/L5)*1000</f>
        <v>45</v>
      </c>
      <c r="W8" s="238"/>
      <c r="X8" s="238"/>
      <c r="Y8" s="238"/>
      <c r="Z8" s="238"/>
      <c r="AA8" s="238"/>
      <c r="AB8" s="238"/>
      <c r="AC8" s="238"/>
      <c r="AD8" s="238"/>
      <c r="AE8" s="238"/>
      <c r="AF8" s="238"/>
      <c r="AG8" s="238"/>
      <c r="AH8" s="238"/>
      <c r="AI8" s="238"/>
      <c r="AJ8" s="238"/>
    </row>
    <row r="9" spans="2:36" s="213" customFormat="1" ht="18" customHeight="1" outlineLevel="1">
      <c r="C9" s="420">
        <f t="shared" si="0"/>
        <v>4.4577347555336336E-2</v>
      </c>
      <c r="D9" s="203">
        <f>(M9*0.964)</f>
        <v>8.6760000000000002</v>
      </c>
      <c r="E9" s="420">
        <f t="shared" si="1"/>
        <v>4.469216187257892E-2</v>
      </c>
      <c r="F9" s="203">
        <f>(M9*0.964)</f>
        <v>8.6760000000000002</v>
      </c>
      <c r="G9" s="229">
        <f>H9*H5</f>
        <v>90</v>
      </c>
      <c r="H9" s="229">
        <f>(M9/L5)*1000000</f>
        <v>45000</v>
      </c>
      <c r="I9" s="250">
        <f>(M9/L5)</f>
        <v>4.4999999999999998E-2</v>
      </c>
      <c r="J9" s="415" t="s">
        <v>246</v>
      </c>
      <c r="K9" s="672" t="s">
        <v>221</v>
      </c>
      <c r="L9" s="232"/>
      <c r="M9" s="255">
        <f>(L5*0.045)</f>
        <v>9</v>
      </c>
      <c r="N9" s="234">
        <f>('MP E-S Ene 24'!M29)</f>
        <v>706.13562970936482</v>
      </c>
      <c r="O9" s="234">
        <f t="shared" si="2"/>
        <v>6355.2206673842829</v>
      </c>
      <c r="P9" s="244">
        <f>(P10-P8)/P8</f>
        <v>1.0545571854386278</v>
      </c>
      <c r="Q9" s="232"/>
      <c r="R9" s="255" t="e">
        <f>(Q5*0.045)</f>
        <v>#REF!</v>
      </c>
      <c r="S9" s="232"/>
      <c r="T9" s="255">
        <f>(S5*0.045)</f>
        <v>0</v>
      </c>
      <c r="U9" s="245"/>
      <c r="V9" s="249">
        <f>((M9*V5)/L5)*1000</f>
        <v>45</v>
      </c>
      <c r="W9" s="238"/>
      <c r="X9" s="238"/>
      <c r="Y9" s="238"/>
      <c r="Z9" s="238"/>
      <c r="AA9" s="238"/>
      <c r="AB9" s="238"/>
      <c r="AC9" s="238"/>
      <c r="AD9" s="238"/>
      <c r="AE9" s="238"/>
      <c r="AF9" s="238"/>
      <c r="AG9" s="238"/>
      <c r="AH9" s="238"/>
      <c r="AI9" s="238"/>
      <c r="AJ9" s="238"/>
    </row>
    <row r="10" spans="2:36" s="213" customFormat="1" ht="18" customHeight="1" outlineLevel="1">
      <c r="C10" s="420">
        <f t="shared" si="0"/>
        <v>4.0415561995190828E-2</v>
      </c>
      <c r="D10" s="203">
        <f>(M10*0.874)</f>
        <v>7.8659999999999997</v>
      </c>
      <c r="E10" s="420">
        <f t="shared" si="1"/>
        <v>4.0519657133437734E-2</v>
      </c>
      <c r="F10" s="203">
        <f>(M10*0.874)</f>
        <v>7.8659999999999997</v>
      </c>
      <c r="G10" s="229">
        <f>H10*H5</f>
        <v>90</v>
      </c>
      <c r="H10" s="229">
        <f>(M10/L5)*1000000</f>
        <v>45000</v>
      </c>
      <c r="I10" s="250">
        <f>(M10/L5)</f>
        <v>4.4999999999999998E-2</v>
      </c>
      <c r="J10" s="415" t="s">
        <v>247</v>
      </c>
      <c r="K10" s="672" t="s">
        <v>226</v>
      </c>
      <c r="L10" s="232"/>
      <c r="M10" s="255">
        <f>(L5*0.045)</f>
        <v>9</v>
      </c>
      <c r="N10" s="234">
        <f>('MP E-S Ene 24'!M34)</f>
        <v>110.93</v>
      </c>
      <c r="O10" s="234">
        <f t="shared" si="2"/>
        <v>998.37000000000012</v>
      </c>
      <c r="P10" s="256">
        <v>299</v>
      </c>
      <c r="Q10" s="232"/>
      <c r="R10" s="255" t="e">
        <f>(Q5*0.045)</f>
        <v>#REF!</v>
      </c>
      <c r="S10" s="232"/>
      <c r="T10" s="255">
        <f>(S5*0.045)</f>
        <v>0</v>
      </c>
      <c r="U10" s="236"/>
      <c r="V10" s="249">
        <f>((M10*V5)/L5)*1000</f>
        <v>45</v>
      </c>
      <c r="W10" s="238"/>
      <c r="X10" s="238"/>
      <c r="Y10" s="238"/>
      <c r="Z10" s="238"/>
      <c r="AA10" s="238"/>
      <c r="AB10" s="238"/>
      <c r="AC10" s="238"/>
      <c r="AD10" s="238"/>
      <c r="AE10" s="238"/>
      <c r="AF10" s="238"/>
      <c r="AG10" s="238"/>
      <c r="AH10" s="238"/>
      <c r="AI10" s="238"/>
      <c r="AJ10" s="238"/>
    </row>
    <row r="11" spans="2:36" s="213" customFormat="1" ht="18" customHeight="1" outlineLevel="1">
      <c r="B11" s="424">
        <f>(SUM(D6:D11)/L5)*1000</f>
        <v>310.64000000000004</v>
      </c>
      <c r="C11" s="420">
        <f t="shared" si="0"/>
        <v>0.10493865219803934</v>
      </c>
      <c r="D11" s="203">
        <f>(M11*0.851)</f>
        <v>20.423999999999999</v>
      </c>
      <c r="E11" s="420">
        <f t="shared" si="1"/>
        <v>0.10520893431138219</v>
      </c>
      <c r="F11" s="203">
        <f>(M11*0.851)</f>
        <v>20.423999999999999</v>
      </c>
      <c r="G11" s="229">
        <f>H11*H5</f>
        <v>240</v>
      </c>
      <c r="H11" s="229">
        <f>(M11/L5)*1000000</f>
        <v>120000</v>
      </c>
      <c r="I11" s="250">
        <f>(M11/L5)</f>
        <v>0.12</v>
      </c>
      <c r="J11" s="415" t="s">
        <v>248</v>
      </c>
      <c r="K11" s="672" t="s">
        <v>507</v>
      </c>
      <c r="L11" s="232"/>
      <c r="M11" s="255">
        <f>(L5*0.12)</f>
        <v>24</v>
      </c>
      <c r="N11" s="234">
        <f>('MP E-S Ene 24'!M38)</f>
        <v>13.5304</v>
      </c>
      <c r="O11" s="234">
        <f t="shared" si="2"/>
        <v>324.7296</v>
      </c>
      <c r="P11" s="232"/>
      <c r="Q11" s="232"/>
      <c r="R11" s="255" t="e">
        <f>(Q5*0.12)</f>
        <v>#REF!</v>
      </c>
      <c r="S11" s="232"/>
      <c r="T11" s="255">
        <f>(S5*0.12)</f>
        <v>0</v>
      </c>
      <c r="U11" s="257"/>
      <c r="V11" s="249">
        <f>((M11*V5)/L5)*1000</f>
        <v>120</v>
      </c>
      <c r="W11" s="258"/>
      <c r="X11" s="258"/>
      <c r="Y11" s="258"/>
      <c r="Z11" s="258"/>
      <c r="AA11" s="258"/>
      <c r="AB11" s="258"/>
      <c r="AC11" s="258"/>
      <c r="AD11" s="258"/>
      <c r="AE11" s="258"/>
      <c r="AF11" s="258"/>
      <c r="AG11" s="258"/>
      <c r="AH11" s="258"/>
      <c r="AI11" s="258"/>
      <c r="AJ11" s="258"/>
    </row>
    <row r="12" spans="2:36" s="213" customFormat="1" ht="18" customHeight="1" outlineLevel="1">
      <c r="C12" s="423">
        <f t="shared" si="0"/>
        <v>0.25946934665104715</v>
      </c>
      <c r="D12" s="203">
        <f>(M12*1.01)</f>
        <v>50.5</v>
      </c>
      <c r="E12" s="420">
        <f t="shared" si="1"/>
        <v>0.67996373526745246</v>
      </c>
      <c r="F12" s="421">
        <f>(M12+M13)</f>
        <v>132</v>
      </c>
      <c r="G12" s="229">
        <f>H12*H5</f>
        <v>500</v>
      </c>
      <c r="H12" s="229">
        <f>(M12/L5)*1000000</f>
        <v>250000</v>
      </c>
      <c r="I12" s="250">
        <f>(M12/L5)</f>
        <v>0.25</v>
      </c>
      <c r="J12" s="415" t="s">
        <v>251</v>
      </c>
      <c r="K12" s="672" t="s">
        <v>211</v>
      </c>
      <c r="L12" s="232"/>
      <c r="M12" s="255">
        <f>(L5*0.25)</f>
        <v>50</v>
      </c>
      <c r="N12" s="234">
        <f>('MP E-S Ene 24'!M11)</f>
        <v>73.5</v>
      </c>
      <c r="O12" s="234">
        <f t="shared" si="2"/>
        <v>3675</v>
      </c>
      <c r="P12" s="232"/>
      <c r="Q12" s="232"/>
      <c r="R12" s="255" t="e">
        <f>(Q5*0.25)</f>
        <v>#REF!</v>
      </c>
      <c r="S12" s="232"/>
      <c r="T12" s="255">
        <f>(S5*0.25)</f>
        <v>0</v>
      </c>
      <c r="U12" s="259"/>
      <c r="V12" s="249">
        <f>((M12*V5)/L5)*1000</f>
        <v>250</v>
      </c>
      <c r="W12" s="260"/>
      <c r="X12" s="260"/>
      <c r="Y12" s="260"/>
      <c r="Z12" s="260"/>
      <c r="AA12" s="260"/>
      <c r="AB12" s="260"/>
      <c r="AC12" s="260"/>
      <c r="AD12" s="260"/>
      <c r="AE12" s="260"/>
      <c r="AF12" s="260"/>
      <c r="AG12" s="260"/>
      <c r="AH12" s="260"/>
      <c r="AI12" s="260"/>
      <c r="AJ12" s="260"/>
    </row>
    <row r="13" spans="2:36" s="213" customFormat="1" ht="18" customHeight="1" outlineLevel="1">
      <c r="C13" s="432">
        <f t="shared" si="0"/>
        <v>0.42131656287892805</v>
      </c>
      <c r="D13" s="431">
        <f>(M13*1)</f>
        <v>82</v>
      </c>
      <c r="E13" s="422">
        <f>SUM(E6:E12)</f>
        <v>1</v>
      </c>
      <c r="F13" s="203">
        <f>SUM(F6:F12)</f>
        <v>194.12799999999999</v>
      </c>
      <c r="G13" s="203"/>
      <c r="H13" s="229"/>
      <c r="I13" s="250">
        <f>(M13/L5)</f>
        <v>0.41</v>
      </c>
      <c r="J13" s="415" t="s">
        <v>252</v>
      </c>
      <c r="K13" s="672" t="s">
        <v>204</v>
      </c>
      <c r="L13" s="232"/>
      <c r="M13" s="255">
        <f>L5-(M6+M7+M8+M9+M10+M11+M12)</f>
        <v>82</v>
      </c>
      <c r="N13" s="234"/>
      <c r="O13" s="234">
        <f t="shared" si="2"/>
        <v>0</v>
      </c>
      <c r="P13" s="232"/>
      <c r="Q13" s="232"/>
      <c r="R13" s="255" t="e">
        <f>Q5-(R6+R7+R8+R9+R10+R11+R12)</f>
        <v>#REF!</v>
      </c>
      <c r="S13" s="232"/>
      <c r="T13" s="255">
        <f>S5-(T6+T7+T8+T9+T10+T11+T12)</f>
        <v>0</v>
      </c>
      <c r="U13" s="261"/>
      <c r="V13" s="249">
        <f>((M13*V5)/L5)*1000</f>
        <v>410</v>
      </c>
      <c r="W13" s="262"/>
      <c r="X13" s="262"/>
      <c r="Y13" s="262"/>
      <c r="Z13" s="262"/>
      <c r="AA13" s="262"/>
      <c r="AB13" s="262"/>
      <c r="AC13" s="262"/>
      <c r="AD13" s="262"/>
      <c r="AE13" s="262"/>
      <c r="AF13" s="262"/>
      <c r="AG13" s="262"/>
      <c r="AH13" s="262"/>
      <c r="AI13" s="262"/>
      <c r="AJ13" s="262"/>
    </row>
    <row r="14" spans="2:36" s="213" customFormat="1" ht="18" customHeight="1" outlineLevel="1">
      <c r="C14" s="425">
        <f>SUM(C6:C13)</f>
        <v>1</v>
      </c>
      <c r="D14" s="213">
        <f>SUM(D6:D13)</f>
        <v>194.62799999999999</v>
      </c>
      <c r="E14" s="203"/>
      <c r="F14" s="203"/>
      <c r="G14" s="203"/>
      <c r="H14" s="250"/>
      <c r="I14" s="250"/>
      <c r="J14" s="415" t="s">
        <v>253</v>
      </c>
      <c r="K14" s="672" t="s">
        <v>249</v>
      </c>
      <c r="L14" s="232"/>
      <c r="M14" s="251">
        <f>(L5/20)</f>
        <v>10</v>
      </c>
      <c r="N14" s="234">
        <f>('MP E-S Ene 24'!M10)</f>
        <v>140</v>
      </c>
      <c r="O14" s="234">
        <f t="shared" si="2"/>
        <v>1400</v>
      </c>
      <c r="P14" s="232"/>
      <c r="Q14" s="232"/>
      <c r="R14" s="251" t="e">
        <f>(Q5/20)</f>
        <v>#REF!</v>
      </c>
      <c r="S14" s="232"/>
      <c r="T14" s="251">
        <f>(S5/20)</f>
        <v>0</v>
      </c>
      <c r="U14" s="252"/>
      <c r="V14" s="252"/>
      <c r="W14" s="228"/>
      <c r="X14" s="228"/>
      <c r="Y14" s="253"/>
      <c r="Z14" s="253"/>
      <c r="AA14" s="253"/>
      <c r="AB14" s="253"/>
      <c r="AC14" s="253"/>
      <c r="AD14" s="253"/>
      <c r="AE14" s="253"/>
      <c r="AF14" s="253"/>
      <c r="AG14" s="253"/>
      <c r="AH14" s="253"/>
      <c r="AI14" s="253"/>
      <c r="AJ14" s="253"/>
    </row>
    <row r="15" spans="2:36" s="213" customFormat="1" ht="18" customHeight="1">
      <c r="C15" s="203" t="s">
        <v>567</v>
      </c>
      <c r="D15" s="203"/>
      <c r="E15" s="203" t="s">
        <v>567</v>
      </c>
      <c r="F15" s="203" t="s">
        <v>568</v>
      </c>
      <c r="G15" s="203" t="s">
        <v>240</v>
      </c>
      <c r="H15" s="203">
        <f>1/500</f>
        <v>2E-3</v>
      </c>
      <c r="I15" s="219" t="s">
        <v>250</v>
      </c>
      <c r="J15" s="661" t="s">
        <v>254</v>
      </c>
      <c r="K15" s="662" t="s">
        <v>51</v>
      </c>
      <c r="L15" s="663">
        <v>200</v>
      </c>
      <c r="M15" s="664" t="s">
        <v>242</v>
      </c>
      <c r="N15" s="665"/>
      <c r="O15" s="455"/>
      <c r="P15" s="456">
        <f>SUM(O16:O21)</f>
        <v>21213.546682157677</v>
      </c>
      <c r="Q15" s="457" t="e">
        <f>(#REF!)</f>
        <v>#REF!</v>
      </c>
      <c r="R15" s="223" t="s">
        <v>242</v>
      </c>
      <c r="S15" s="254"/>
      <c r="T15" s="225"/>
      <c r="U15" s="226">
        <f>(P15/L15)</f>
        <v>106.06773341078839</v>
      </c>
      <c r="V15" s="227">
        <v>1</v>
      </c>
      <c r="W15" s="228"/>
      <c r="X15" s="228"/>
      <c r="Y15" s="228"/>
      <c r="Z15" s="228"/>
      <c r="AA15" s="228"/>
      <c r="AB15" s="228"/>
      <c r="AC15" s="228"/>
      <c r="AD15" s="228"/>
      <c r="AE15" s="228"/>
      <c r="AF15" s="228"/>
      <c r="AG15" s="228"/>
      <c r="AH15" s="228"/>
      <c r="AI15" s="228"/>
      <c r="AJ15" s="228"/>
    </row>
    <row r="16" spans="2:36" s="213" customFormat="1" ht="18" customHeight="1" outlineLevel="1">
      <c r="C16" s="420">
        <f>(D16/D$21)</f>
        <v>7.684036393713814E-2</v>
      </c>
      <c r="D16" s="203">
        <f>(M16*0.929)</f>
        <v>14.864000000000001</v>
      </c>
      <c r="E16" s="420">
        <f>(F16/F$20)</f>
        <v>7.7039494143256976E-2</v>
      </c>
      <c r="F16" s="203">
        <f>(M16*0.929)</f>
        <v>14.864000000000001</v>
      </c>
      <c r="G16" s="229">
        <f>H16*H15</f>
        <v>160</v>
      </c>
      <c r="H16" s="229">
        <f>(M16/L15)*1000000</f>
        <v>80000</v>
      </c>
      <c r="I16" s="250">
        <f>(M16/L15)</f>
        <v>0.08</v>
      </c>
      <c r="J16" s="415" t="s">
        <v>243</v>
      </c>
      <c r="K16" s="672" t="s">
        <v>220</v>
      </c>
      <c r="L16" s="232"/>
      <c r="M16" s="255">
        <f>(L15*0.08)</f>
        <v>16</v>
      </c>
      <c r="N16" s="234">
        <f>('MP E-S Ene 24'!M27)</f>
        <v>0</v>
      </c>
      <c r="O16" s="234">
        <f t="shared" ref="O16:O21" si="3">(M16*N16)</f>
        <v>0</v>
      </c>
      <c r="P16" s="235">
        <f>(18.5*L15)</f>
        <v>3700</v>
      </c>
      <c r="Q16" s="232"/>
      <c r="R16" s="255" t="e">
        <f>(Q15*0.08)</f>
        <v>#REF!</v>
      </c>
      <c r="S16" s="232"/>
      <c r="T16" s="255">
        <f>(S15*0.08)</f>
        <v>0</v>
      </c>
      <c r="U16" s="236"/>
      <c r="V16" s="249">
        <f>((M16*V15)/L15)*1000</f>
        <v>80</v>
      </c>
      <c r="W16" s="238"/>
      <c r="X16" s="238"/>
      <c r="Y16" s="238"/>
      <c r="Z16" s="238"/>
      <c r="AA16" s="238"/>
      <c r="AB16" s="238"/>
      <c r="AC16" s="238"/>
      <c r="AD16" s="238"/>
      <c r="AE16" s="238"/>
      <c r="AF16" s="238"/>
      <c r="AG16" s="238"/>
      <c r="AH16" s="238"/>
      <c r="AI16" s="238"/>
      <c r="AJ16" s="238"/>
    </row>
    <row r="17" spans="1:36" s="213" customFormat="1" ht="18" customHeight="1" outlineLevel="1">
      <c r="B17" s="424">
        <f>(SUM(D16:D18)/L15)*1000</f>
        <v>304.7</v>
      </c>
      <c r="C17" s="420">
        <f>(D17/D$21)</f>
        <v>7.9818031430934661E-2</v>
      </c>
      <c r="D17" s="203">
        <f>(M17*0.965)</f>
        <v>15.44</v>
      </c>
      <c r="E17" s="420">
        <f>(F17/F$20)</f>
        <v>8.0024878200476837E-2</v>
      </c>
      <c r="F17" s="203">
        <f>(M17*0.965)</f>
        <v>15.44</v>
      </c>
      <c r="G17" s="229">
        <f>H17*H15</f>
        <v>160</v>
      </c>
      <c r="H17" s="229">
        <f>(M17/L15)*1000000</f>
        <v>80000</v>
      </c>
      <c r="I17" s="250">
        <f>(M17/L15)</f>
        <v>0.08</v>
      </c>
      <c r="J17" s="415" t="s">
        <v>244</v>
      </c>
      <c r="K17" s="672" t="s">
        <v>222</v>
      </c>
      <c r="L17" s="232"/>
      <c r="M17" s="255">
        <f>(L15*0.08)</f>
        <v>16</v>
      </c>
      <c r="N17" s="234">
        <f>('MP E-S Ene 24'!M30)</f>
        <v>978.21576763485484</v>
      </c>
      <c r="O17" s="234">
        <f t="shared" si="3"/>
        <v>15651.452282157677</v>
      </c>
      <c r="P17" s="239">
        <f>SUM(P15:P16)</f>
        <v>24913.546682157677</v>
      </c>
      <c r="Q17" s="232"/>
      <c r="R17" s="255" t="e">
        <f>(Q15*0.08)</f>
        <v>#REF!</v>
      </c>
      <c r="S17" s="232"/>
      <c r="T17" s="255">
        <f>(S15*0.08)</f>
        <v>0</v>
      </c>
      <c r="U17" s="240"/>
      <c r="V17" s="249">
        <f>((M17*V15)/L15)*1000</f>
        <v>80</v>
      </c>
      <c r="W17" s="241"/>
      <c r="X17" s="241"/>
      <c r="Y17" s="241"/>
      <c r="Z17" s="241"/>
      <c r="AA17" s="241"/>
      <c r="AB17" s="241"/>
      <c r="AC17" s="241"/>
      <c r="AD17" s="241"/>
      <c r="AE17" s="241"/>
      <c r="AF17" s="241"/>
      <c r="AG17" s="241"/>
      <c r="AH17" s="241"/>
      <c r="AI17" s="241"/>
      <c r="AJ17" s="241"/>
    </row>
    <row r="18" spans="1:36" s="213" customFormat="1" ht="18" customHeight="1" outlineLevel="1">
      <c r="C18" s="420">
        <f>(D18/D$21)</f>
        <v>0.15837468982630273</v>
      </c>
      <c r="D18" s="203">
        <f>(M18*0.851)</f>
        <v>30.635999999999999</v>
      </c>
      <c r="E18" s="420">
        <f>(F18/F$20)</f>
        <v>0.15878511454338137</v>
      </c>
      <c r="F18" s="203">
        <f>(M18*0.851)</f>
        <v>30.635999999999999</v>
      </c>
      <c r="G18" s="229">
        <f>H18*H15</f>
        <v>360</v>
      </c>
      <c r="H18" s="229">
        <f>(M18/L15)*1000000</f>
        <v>180000</v>
      </c>
      <c r="I18" s="250">
        <f>(M18/L15)</f>
        <v>0.18</v>
      </c>
      <c r="J18" s="415" t="s">
        <v>245</v>
      </c>
      <c r="K18" s="672" t="s">
        <v>507</v>
      </c>
      <c r="L18" s="232"/>
      <c r="M18" s="255">
        <f>(L15*0.18)</f>
        <v>36</v>
      </c>
      <c r="N18" s="234">
        <f>('MP E-S Ene 24'!M38)</f>
        <v>13.5304</v>
      </c>
      <c r="O18" s="234">
        <f t="shared" si="3"/>
        <v>487.09440000000001</v>
      </c>
      <c r="P18" s="243">
        <f>SUM(P17)/L15</f>
        <v>124.56773341078839</v>
      </c>
      <c r="Q18" s="232"/>
      <c r="R18" s="255" t="e">
        <f>(Q15*0.18)</f>
        <v>#REF!</v>
      </c>
      <c r="S18" s="232"/>
      <c r="T18" s="255">
        <f>(S15*0.18)</f>
        <v>0</v>
      </c>
      <c r="U18" s="236"/>
      <c r="V18" s="249">
        <f>((M18*V15)/L15)*1000</f>
        <v>180</v>
      </c>
      <c r="W18" s="238"/>
      <c r="X18" s="238"/>
      <c r="Y18" s="238"/>
      <c r="Z18" s="238"/>
      <c r="AA18" s="238"/>
      <c r="AB18" s="238"/>
      <c r="AC18" s="238"/>
      <c r="AD18" s="238"/>
      <c r="AE18" s="238"/>
      <c r="AF18" s="238"/>
      <c r="AG18" s="238"/>
      <c r="AH18" s="238"/>
      <c r="AI18" s="238"/>
      <c r="AJ18" s="238"/>
    </row>
    <row r="19" spans="1:36" s="213" customFormat="1" ht="18" customHeight="1" outlineLevel="1">
      <c r="C19" s="420">
        <f>(D19/D$21)</f>
        <v>0.26106286186931349</v>
      </c>
      <c r="D19" s="203">
        <f>(M19*1.01)</f>
        <v>50.5</v>
      </c>
      <c r="E19" s="420">
        <f>(F19/F$20)</f>
        <v>0.68415051311288488</v>
      </c>
      <c r="F19" s="421">
        <f>(M19+M20)</f>
        <v>132</v>
      </c>
      <c r="G19" s="229">
        <f>H19*H15</f>
        <v>500</v>
      </c>
      <c r="H19" s="229">
        <f>(M19/L15)*1000000</f>
        <v>250000</v>
      </c>
      <c r="I19" s="250">
        <f>(M19/L15)</f>
        <v>0.25</v>
      </c>
      <c r="J19" s="415" t="s">
        <v>246</v>
      </c>
      <c r="K19" s="672" t="s">
        <v>211</v>
      </c>
      <c r="L19" s="232"/>
      <c r="M19" s="255">
        <f>(L15*0.25)</f>
        <v>50</v>
      </c>
      <c r="N19" s="234">
        <f>('MP E-S Ene 24'!M11)</f>
        <v>73.5</v>
      </c>
      <c r="O19" s="234">
        <f t="shared" si="3"/>
        <v>3675</v>
      </c>
      <c r="P19" s="244">
        <f>(P20-P18)/P18</f>
        <v>0.92666265515604551</v>
      </c>
      <c r="Q19" s="232"/>
      <c r="R19" s="255" t="e">
        <f>(Q15*0.25)</f>
        <v>#REF!</v>
      </c>
      <c r="S19" s="232"/>
      <c r="T19" s="255">
        <f>(S15*0.25)</f>
        <v>0</v>
      </c>
      <c r="U19" s="245"/>
      <c r="V19" s="249">
        <f>((M19*V15)/L15)*1000</f>
        <v>250</v>
      </c>
      <c r="W19" s="238"/>
      <c r="X19" s="238"/>
      <c r="Y19" s="238"/>
      <c r="Z19" s="238"/>
      <c r="AA19" s="238"/>
      <c r="AB19" s="238"/>
      <c r="AC19" s="238"/>
      <c r="AD19" s="238"/>
      <c r="AE19" s="238"/>
      <c r="AF19" s="238"/>
      <c r="AG19" s="238"/>
      <c r="AH19" s="238"/>
      <c r="AI19" s="238"/>
      <c r="AJ19" s="238"/>
    </row>
    <row r="20" spans="1:36" s="213" customFormat="1" ht="18" customHeight="1" outlineLevel="1">
      <c r="C20" s="432">
        <f>(D20/D$21)</f>
        <v>0.423904052936311</v>
      </c>
      <c r="D20" s="431">
        <f>(M20*1)</f>
        <v>82</v>
      </c>
      <c r="E20" s="422">
        <f>SUM(E15:E19)</f>
        <v>1</v>
      </c>
      <c r="F20" s="203">
        <f>SUM(F16:F19)</f>
        <v>192.94</v>
      </c>
      <c r="G20" s="246"/>
      <c r="H20" s="229"/>
      <c r="I20" s="250">
        <f>(M20/L15)</f>
        <v>0.41</v>
      </c>
      <c r="J20" s="415" t="s">
        <v>247</v>
      </c>
      <c r="K20" s="672" t="s">
        <v>204</v>
      </c>
      <c r="L20" s="232"/>
      <c r="M20" s="255">
        <f>L15-(M16+M17+M18+M19)</f>
        <v>82</v>
      </c>
      <c r="N20" s="234"/>
      <c r="O20" s="234">
        <f t="shared" si="3"/>
        <v>0</v>
      </c>
      <c r="P20" s="256">
        <v>240</v>
      </c>
      <c r="Q20" s="232"/>
      <c r="R20" s="255" t="e">
        <f>Q15-(R16+R17+R18+R19)</f>
        <v>#REF!</v>
      </c>
      <c r="S20" s="232"/>
      <c r="T20" s="255">
        <f>S15-(T16+T17+T18+T19)</f>
        <v>0</v>
      </c>
      <c r="U20" s="236"/>
      <c r="V20" s="249">
        <f>((M20*V15)/L15)*1000</f>
        <v>410</v>
      </c>
      <c r="W20" s="238"/>
      <c r="X20" s="238"/>
      <c r="Y20" s="238"/>
      <c r="Z20" s="238"/>
      <c r="AA20" s="238"/>
      <c r="AB20" s="238"/>
      <c r="AC20" s="238"/>
      <c r="AD20" s="238"/>
      <c r="AE20" s="238"/>
      <c r="AF20" s="238"/>
      <c r="AG20" s="238"/>
      <c r="AH20" s="238"/>
      <c r="AI20" s="238"/>
      <c r="AJ20" s="238"/>
    </row>
    <row r="21" spans="1:36" s="213" customFormat="1" ht="18" customHeight="1" outlineLevel="1">
      <c r="B21" s="203"/>
      <c r="C21" s="422">
        <f>SUM(C16:C20)</f>
        <v>1</v>
      </c>
      <c r="D21" s="213">
        <f>SUM(D16:D20)</f>
        <v>193.44</v>
      </c>
      <c r="E21" s="203"/>
      <c r="G21" s="246"/>
      <c r="H21" s="229"/>
      <c r="I21" s="250"/>
      <c r="J21" s="415" t="s">
        <v>248</v>
      </c>
      <c r="K21" s="672" t="s">
        <v>249</v>
      </c>
      <c r="L21" s="232"/>
      <c r="M21" s="251">
        <f>(L15/20)</f>
        <v>10</v>
      </c>
      <c r="N21" s="234">
        <f>('MP E-S Ene 24'!M10)</f>
        <v>140</v>
      </c>
      <c r="O21" s="234">
        <f t="shared" si="3"/>
        <v>1400</v>
      </c>
      <c r="P21" s="232"/>
      <c r="Q21" s="232"/>
      <c r="R21" s="251" t="e">
        <f>(Q15/20)</f>
        <v>#REF!</v>
      </c>
      <c r="S21" s="232"/>
      <c r="T21" s="251">
        <f>(S15/20)</f>
        <v>0</v>
      </c>
      <c r="U21" s="257"/>
      <c r="V21" s="257"/>
      <c r="W21" s="258"/>
      <c r="X21" s="258"/>
      <c r="Y21" s="258"/>
      <c r="Z21" s="258"/>
      <c r="AA21" s="258"/>
      <c r="AB21" s="258"/>
      <c r="AC21" s="258"/>
      <c r="AD21" s="258"/>
      <c r="AE21" s="258"/>
      <c r="AF21" s="258"/>
      <c r="AG21" s="258"/>
      <c r="AH21" s="258"/>
      <c r="AI21" s="258"/>
      <c r="AJ21" s="258"/>
    </row>
    <row r="22" spans="1:36" s="213" customFormat="1" ht="18" customHeight="1">
      <c r="A22" s="301" t="s">
        <v>412</v>
      </c>
      <c r="B22" s="301"/>
      <c r="C22" s="301"/>
      <c r="D22" s="301"/>
      <c r="E22" s="301"/>
      <c r="F22" s="203"/>
      <c r="G22" s="219" t="s">
        <v>268</v>
      </c>
      <c r="H22" s="279">
        <f>2/500</f>
        <v>4.0000000000000001E-3</v>
      </c>
      <c r="I22" s="203" t="s">
        <v>511</v>
      </c>
      <c r="J22" s="661" t="s">
        <v>411</v>
      </c>
      <c r="K22" s="666" t="s">
        <v>641</v>
      </c>
      <c r="L22" s="663">
        <v>200</v>
      </c>
      <c r="M22" s="664" t="s">
        <v>242</v>
      </c>
      <c r="N22" s="667">
        <f>(1350/9.46)</f>
        <v>142.70613107822408</v>
      </c>
      <c r="O22" s="220"/>
      <c r="P22" s="221">
        <f>SUM(O23:O29)</f>
        <v>12349.303571428572</v>
      </c>
      <c r="Q22" s="222" t="e">
        <f>(#REF!)</f>
        <v>#REF!</v>
      </c>
      <c r="R22" s="223" t="s">
        <v>242</v>
      </c>
      <c r="S22" s="254"/>
      <c r="T22" s="225"/>
      <c r="U22" s="265">
        <f>(P22/L22)</f>
        <v>61.746517857142862</v>
      </c>
      <c r="V22" s="227">
        <v>1</v>
      </c>
      <c r="W22" s="238"/>
      <c r="X22" s="238"/>
      <c r="Y22" s="228"/>
      <c r="Z22" s="228"/>
      <c r="AA22" s="228"/>
      <c r="AB22" s="228"/>
      <c r="AC22" s="228"/>
      <c r="AD22" s="228"/>
      <c r="AE22" s="228"/>
      <c r="AF22" s="228"/>
      <c r="AG22" s="228"/>
      <c r="AH22" s="228"/>
      <c r="AI22" s="228"/>
      <c r="AJ22" s="228"/>
    </row>
    <row r="23" spans="1:36" s="213" customFormat="1" ht="18" customHeight="1" outlineLevel="1">
      <c r="A23" s="302">
        <f t="shared" ref="A23:A28" si="4">(H23/10000)/100</f>
        <v>1.2225E-2</v>
      </c>
      <c r="B23" s="266" t="s">
        <v>406</v>
      </c>
      <c r="C23" s="266"/>
      <c r="D23" s="266"/>
      <c r="E23" s="427">
        <f>(H23/1000000)</f>
        <v>1.2225E-2</v>
      </c>
      <c r="F23" s="203"/>
      <c r="G23" s="267">
        <f>(H23*H22)</f>
        <v>48.9</v>
      </c>
      <c r="H23" s="246">
        <f>(I23*0.0978)*1000000</f>
        <v>12225</v>
      </c>
      <c r="I23" s="230">
        <f>(M23/L22)</f>
        <v>0.125</v>
      </c>
      <c r="J23" s="415" t="s">
        <v>248</v>
      </c>
      <c r="K23" s="672" t="s">
        <v>269</v>
      </c>
      <c r="L23" s="232"/>
      <c r="M23" s="242">
        <f>(L22*0.125)</f>
        <v>25</v>
      </c>
      <c r="N23" s="268">
        <f>('MP E-S Ene 24'!M37)</f>
        <v>1.5149999999999999</v>
      </c>
      <c r="O23" s="234">
        <f t="shared" ref="O23:O29" si="5">(M23*N23)</f>
        <v>37.875</v>
      </c>
      <c r="P23" s="235">
        <f>9*L22</f>
        <v>1800</v>
      </c>
      <c r="Q23" s="269"/>
      <c r="R23" s="242" t="e">
        <f>(Q22*0.125)</f>
        <v>#REF!</v>
      </c>
      <c r="S23" s="269"/>
      <c r="T23" s="242">
        <f>(S22*0.125)</f>
        <v>0</v>
      </c>
      <c r="U23" s="287">
        <f t="shared" ref="U23:U28" si="6">(N23*T23)</f>
        <v>0</v>
      </c>
      <c r="V23" s="281">
        <f>((M23*V22)/L22)*1000</f>
        <v>125</v>
      </c>
      <c r="W23" s="238"/>
      <c r="X23" s="238"/>
      <c r="Y23" s="238"/>
      <c r="Z23" s="238"/>
      <c r="AA23" s="238"/>
      <c r="AB23" s="238"/>
      <c r="AC23" s="238"/>
      <c r="AD23" s="238"/>
      <c r="AE23" s="238"/>
      <c r="AF23" s="238"/>
      <c r="AG23" s="238"/>
      <c r="AH23" s="238"/>
      <c r="AI23" s="238"/>
      <c r="AJ23" s="238"/>
    </row>
    <row r="24" spans="1:36" s="213" customFormat="1" ht="18" customHeight="1" outlineLevel="1">
      <c r="A24" s="302">
        <f t="shared" si="4"/>
        <v>1.0000000000000002E-2</v>
      </c>
      <c r="B24" s="266" t="s">
        <v>407</v>
      </c>
      <c r="C24" s="266"/>
      <c r="D24" s="266"/>
      <c r="E24" s="427">
        <f>(H24/1000000)</f>
        <v>1.0000000000000002E-2</v>
      </c>
      <c r="F24" s="203"/>
      <c r="G24" s="267">
        <f>(H24*H22)</f>
        <v>40.000000000000007</v>
      </c>
      <c r="H24" s="246">
        <f>(I24*0.2)*1000000</f>
        <v>10000.000000000002</v>
      </c>
      <c r="I24" s="230">
        <f>(M24/L22)</f>
        <v>0.05</v>
      </c>
      <c r="J24" s="415" t="s">
        <v>247</v>
      </c>
      <c r="K24" s="672" t="s">
        <v>270</v>
      </c>
      <c r="L24" s="232"/>
      <c r="M24" s="242">
        <f>(L22*0.05)</f>
        <v>10</v>
      </c>
      <c r="N24" s="234">
        <f>('MP E-S Ene 24'!M18)</f>
        <v>122.14285714285714</v>
      </c>
      <c r="O24" s="234">
        <f t="shared" si="5"/>
        <v>1221.4285714285713</v>
      </c>
      <c r="P24" s="270">
        <f>SUM(P22:P23)</f>
        <v>14149.303571428572</v>
      </c>
      <c r="Q24" s="232"/>
      <c r="R24" s="242" t="e">
        <f>(Q22*0.05)</f>
        <v>#REF!</v>
      </c>
      <c r="S24" s="232"/>
      <c r="T24" s="242">
        <f>(S22*0.05)</f>
        <v>0</v>
      </c>
      <c r="U24" s="287">
        <f t="shared" si="6"/>
        <v>0</v>
      </c>
      <c r="V24" s="281">
        <f>((M24*V22)/L22)*1000</f>
        <v>50</v>
      </c>
      <c r="W24" s="241"/>
      <c r="X24" s="241"/>
      <c r="Y24" s="238"/>
      <c r="Z24" s="238"/>
      <c r="AA24" s="238"/>
      <c r="AB24" s="238"/>
      <c r="AC24" s="238"/>
      <c r="AD24" s="238"/>
      <c r="AE24" s="238"/>
      <c r="AF24" s="238"/>
      <c r="AG24" s="238"/>
      <c r="AH24" s="238"/>
      <c r="AI24" s="238"/>
      <c r="AJ24" s="238"/>
    </row>
    <row r="25" spans="1:36" s="213" customFormat="1" ht="18" customHeight="1" outlineLevel="1">
      <c r="A25" s="302">
        <f t="shared" si="4"/>
        <v>9.8999999999999973E-3</v>
      </c>
      <c r="B25" s="266" t="s">
        <v>408</v>
      </c>
      <c r="C25" s="266"/>
      <c r="D25" s="266"/>
      <c r="E25" s="427">
        <f>(H25/1000000)</f>
        <v>9.8999999999999973E-3</v>
      </c>
      <c r="F25" s="203"/>
      <c r="G25" s="267">
        <f>(H25*H22)</f>
        <v>39.599999999999994</v>
      </c>
      <c r="H25" s="246">
        <f>(I25*0.22)*1000000</f>
        <v>9899.9999999999982</v>
      </c>
      <c r="I25" s="230">
        <f>(M25/L22)</f>
        <v>4.4999999999999998E-2</v>
      </c>
      <c r="J25" s="415" t="s">
        <v>246</v>
      </c>
      <c r="K25" s="672" t="s">
        <v>271</v>
      </c>
      <c r="L25" s="232"/>
      <c r="M25" s="242">
        <f>(L22*0.045)</f>
        <v>9</v>
      </c>
      <c r="N25" s="234">
        <f>('MP E-S Ene 24'!M19)</f>
        <v>285</v>
      </c>
      <c r="O25" s="234">
        <f t="shared" si="5"/>
        <v>2565</v>
      </c>
      <c r="P25" s="243">
        <f>SUM(P24)/L22</f>
        <v>70.746517857142862</v>
      </c>
      <c r="Q25" s="232"/>
      <c r="R25" s="242" t="e">
        <f>(Q22*0.045)</f>
        <v>#REF!</v>
      </c>
      <c r="S25" s="232"/>
      <c r="T25" s="242">
        <f>(S22*0.045)</f>
        <v>0</v>
      </c>
      <c r="U25" s="287">
        <f t="shared" si="6"/>
        <v>0</v>
      </c>
      <c r="V25" s="281">
        <f>((M25*V22)/L22)*1000</f>
        <v>45</v>
      </c>
      <c r="W25" s="260"/>
      <c r="X25" s="260"/>
      <c r="Y25" s="241"/>
      <c r="Z25" s="241"/>
      <c r="AA25" s="241"/>
      <c r="AB25" s="241"/>
      <c r="AC25" s="241"/>
      <c r="AD25" s="241"/>
      <c r="AE25" s="241"/>
      <c r="AF25" s="241"/>
      <c r="AG25" s="241"/>
      <c r="AH25" s="241"/>
      <c r="AI25" s="241"/>
      <c r="AJ25" s="241"/>
    </row>
    <row r="26" spans="1:36" s="213" customFormat="1" ht="18" customHeight="1" outlineLevel="1">
      <c r="A26" s="302">
        <f t="shared" si="4"/>
        <v>3.2500000000000001E-2</v>
      </c>
      <c r="B26" s="266" t="s">
        <v>409</v>
      </c>
      <c r="C26" s="266"/>
      <c r="D26" s="266"/>
      <c r="E26" s="427">
        <f>(H26/1000000)</f>
        <v>3.2500000000000001E-2</v>
      </c>
      <c r="F26" s="203"/>
      <c r="G26" s="267">
        <f>(H26*H22)</f>
        <v>130</v>
      </c>
      <c r="H26" s="246">
        <f>(I26*0.26)*1000000</f>
        <v>32500</v>
      </c>
      <c r="I26" s="230">
        <f>(M26/L22)</f>
        <v>0.125</v>
      </c>
      <c r="J26" s="415" t="s">
        <v>244</v>
      </c>
      <c r="K26" s="672" t="s">
        <v>272</v>
      </c>
      <c r="L26" s="232"/>
      <c r="M26" s="242">
        <f>(L22*0.125)</f>
        <v>25</v>
      </c>
      <c r="N26" s="234">
        <f>('MP E-S Ene 24'!M20)</f>
        <v>285</v>
      </c>
      <c r="O26" s="234">
        <f t="shared" si="5"/>
        <v>7125</v>
      </c>
      <c r="P26" s="244">
        <f>(P27-P25)/P25</f>
        <v>0.55484684379973259</v>
      </c>
      <c r="Q26" s="232"/>
      <c r="R26" s="242" t="e">
        <f>(Q22*0.125)</f>
        <v>#REF!</v>
      </c>
      <c r="S26" s="232"/>
      <c r="T26" s="242">
        <f>(S22*0.125)</f>
        <v>0</v>
      </c>
      <c r="U26" s="287">
        <f t="shared" si="6"/>
        <v>0</v>
      </c>
      <c r="V26" s="281">
        <f>((M26*V22)/L22)*1000</f>
        <v>125</v>
      </c>
      <c r="W26" s="238"/>
      <c r="X26" s="238"/>
      <c r="Y26" s="260"/>
      <c r="Z26" s="260"/>
      <c r="AA26" s="260"/>
      <c r="AB26" s="260"/>
      <c r="AC26" s="260"/>
      <c r="AD26" s="260"/>
      <c r="AE26" s="260"/>
      <c r="AF26" s="260"/>
      <c r="AG26" s="260"/>
      <c r="AH26" s="260"/>
      <c r="AI26" s="260"/>
      <c r="AJ26" s="260"/>
    </row>
    <row r="27" spans="1:36" s="213" customFormat="1" ht="18" customHeight="1" outlineLevel="1">
      <c r="A27" s="302">
        <f t="shared" si="4"/>
        <v>9.9500000000000005E-3</v>
      </c>
      <c r="B27" s="266" t="s">
        <v>410</v>
      </c>
      <c r="C27" s="266"/>
      <c r="D27" s="266"/>
      <c r="E27" s="266"/>
      <c r="F27" s="203"/>
      <c r="G27" s="267">
        <f>(H27*H22)</f>
        <v>39.800000000000004</v>
      </c>
      <c r="H27" s="246">
        <f>(I27*0.995)*1000000</f>
        <v>9950</v>
      </c>
      <c r="I27" s="250">
        <f>(M27/L22)</f>
        <v>0.01</v>
      </c>
      <c r="J27" s="415" t="s">
        <v>245</v>
      </c>
      <c r="K27" s="672" t="s">
        <v>273</v>
      </c>
      <c r="L27" s="232"/>
      <c r="M27" s="242">
        <f>(L22*0.01)</f>
        <v>2</v>
      </c>
      <c r="N27" s="268">
        <f>('MP E-S Ene 24'!M5)</f>
        <v>0</v>
      </c>
      <c r="O27" s="234">
        <f t="shared" si="5"/>
        <v>0</v>
      </c>
      <c r="P27" s="256">
        <v>110</v>
      </c>
      <c r="Q27" s="232"/>
      <c r="R27" s="242" t="e">
        <f>(Q22*0.01)</f>
        <v>#REF!</v>
      </c>
      <c r="S27" s="232"/>
      <c r="T27" s="242">
        <f>(S22*0.01)</f>
        <v>0</v>
      </c>
      <c r="U27" s="287">
        <f t="shared" si="6"/>
        <v>0</v>
      </c>
      <c r="V27" s="281">
        <f>((M27*V22)/L22)*1000</f>
        <v>10</v>
      </c>
      <c r="W27" s="238"/>
      <c r="X27" s="238"/>
      <c r="Y27" s="238"/>
      <c r="Z27" s="238"/>
      <c r="AA27" s="238"/>
      <c r="AB27" s="238"/>
      <c r="AC27" s="238"/>
      <c r="AD27" s="238"/>
      <c r="AE27" s="238"/>
      <c r="AF27" s="238"/>
      <c r="AG27" s="238"/>
      <c r="AH27" s="238"/>
      <c r="AI27" s="238"/>
      <c r="AJ27" s="238"/>
    </row>
    <row r="28" spans="1:36" s="213" customFormat="1" ht="18" customHeight="1" outlineLevel="1">
      <c r="A28" s="302">
        <f t="shared" si="4"/>
        <v>1.5875E-2</v>
      </c>
      <c r="B28" s="266" t="s">
        <v>405</v>
      </c>
      <c r="C28" s="266"/>
      <c r="D28" s="266"/>
      <c r="E28" s="266"/>
      <c r="F28" s="203"/>
      <c r="G28" s="267">
        <f>(H28*H22)</f>
        <v>63.5</v>
      </c>
      <c r="H28" s="246">
        <f>(I28*0.127)*1000000</f>
        <v>15875</v>
      </c>
      <c r="I28" s="230">
        <f>(M23/L22)</f>
        <v>0.125</v>
      </c>
      <c r="J28" s="415" t="s">
        <v>243</v>
      </c>
      <c r="K28" s="672" t="s">
        <v>204</v>
      </c>
      <c r="L28" s="232"/>
      <c r="M28" s="671">
        <f>L22-SUM(M23:M27)</f>
        <v>129</v>
      </c>
      <c r="N28" s="234"/>
      <c r="O28" s="234">
        <f t="shared" si="5"/>
        <v>0</v>
      </c>
      <c r="P28" s="232"/>
      <c r="Q28" s="232"/>
      <c r="R28" s="671" t="e">
        <f>Q22-SUM(R23:R27)</f>
        <v>#REF!</v>
      </c>
      <c r="S28" s="232"/>
      <c r="T28" s="671">
        <f>S22-SUM(T23:T27)</f>
        <v>0</v>
      </c>
      <c r="U28" s="287">
        <f t="shared" si="6"/>
        <v>0</v>
      </c>
      <c r="V28" s="282">
        <f>((M28*V22)/L22)*1000</f>
        <v>645</v>
      </c>
      <c r="W28" s="262"/>
      <c r="X28" s="262"/>
      <c r="Y28" s="262"/>
      <c r="Z28" s="262"/>
      <c r="AA28" s="262"/>
      <c r="AB28" s="262"/>
      <c r="AC28" s="262"/>
      <c r="AD28" s="262"/>
      <c r="AE28" s="262"/>
      <c r="AF28" s="262"/>
      <c r="AG28" s="262"/>
      <c r="AH28" s="262"/>
      <c r="AI28" s="262"/>
      <c r="AJ28" s="262"/>
    </row>
    <row r="29" spans="1:36" s="213" customFormat="1" ht="18" customHeight="1" outlineLevel="1">
      <c r="F29" s="203"/>
      <c r="G29" s="203"/>
      <c r="H29" s="203"/>
      <c r="I29" s="203"/>
      <c r="J29" s="415" t="s">
        <v>251</v>
      </c>
      <c r="K29" s="672" t="s">
        <v>249</v>
      </c>
      <c r="L29" s="232"/>
      <c r="M29" s="251">
        <f>(L22/20)</f>
        <v>10</v>
      </c>
      <c r="N29" s="234">
        <f>('MP E-S Ene 24'!M10)</f>
        <v>140</v>
      </c>
      <c r="O29" s="234">
        <f t="shared" si="5"/>
        <v>1400</v>
      </c>
      <c r="P29" s="275"/>
      <c r="Q29" s="232"/>
      <c r="R29" s="251" t="e">
        <f>(Q22/20)</f>
        <v>#REF!</v>
      </c>
      <c r="S29" s="232"/>
      <c r="T29" s="251">
        <f>(S22/20)</f>
        <v>0</v>
      </c>
      <c r="U29" s="280"/>
      <c r="V29" s="273"/>
      <c r="W29" s="276"/>
      <c r="X29" s="276"/>
      <c r="Y29" s="253"/>
      <c r="Z29" s="253"/>
      <c r="AA29" s="253"/>
      <c r="AB29" s="253"/>
      <c r="AC29" s="253"/>
      <c r="AD29" s="253"/>
      <c r="AE29" s="253"/>
      <c r="AF29" s="253"/>
      <c r="AG29" s="253"/>
      <c r="AH29" s="253"/>
      <c r="AI29" s="253"/>
      <c r="AJ29" s="253"/>
    </row>
    <row r="30" spans="1:36" s="213" customFormat="1" ht="18" customHeight="1">
      <c r="B30" s="263" t="s">
        <v>58</v>
      </c>
      <c r="C30" s="301"/>
      <c r="D30" s="301"/>
      <c r="E30" s="301"/>
      <c r="F30" s="301"/>
      <c r="G30" s="219" t="s">
        <v>263</v>
      </c>
      <c r="H30" s="264">
        <f>30/1000</f>
        <v>0.03</v>
      </c>
      <c r="I30" s="203"/>
      <c r="J30" s="661" t="s">
        <v>264</v>
      </c>
      <c r="K30" s="666" t="s">
        <v>643</v>
      </c>
      <c r="L30" s="663">
        <v>1000</v>
      </c>
      <c r="M30" s="664" t="s">
        <v>242</v>
      </c>
      <c r="N30" s="665"/>
      <c r="O30" s="220"/>
      <c r="P30" s="221">
        <f>SUM(O31:O38)</f>
        <v>45465.237999999998</v>
      </c>
      <c r="Q30" s="222" t="e">
        <f>(#REF!)</f>
        <v>#REF!</v>
      </c>
      <c r="R30" s="223" t="s">
        <v>242</v>
      </c>
      <c r="S30" s="254"/>
      <c r="T30" s="225"/>
      <c r="U30" s="265">
        <f>(P30/L30)</f>
        <v>45.465237999999999</v>
      </c>
      <c r="V30" s="227">
        <v>1</v>
      </c>
      <c r="W30" s="238"/>
      <c r="X30" s="238"/>
      <c r="Y30" s="228"/>
      <c r="Z30" s="228"/>
      <c r="AA30" s="228"/>
      <c r="AB30" s="228"/>
      <c r="AC30" s="228"/>
      <c r="AD30" s="228"/>
      <c r="AE30" s="228"/>
      <c r="AF30" s="228"/>
      <c r="AG30" s="228"/>
      <c r="AH30" s="228"/>
      <c r="AI30" s="228"/>
      <c r="AJ30" s="228"/>
    </row>
    <row r="31" spans="1:36" s="213" customFormat="1" ht="18" customHeight="1" outlineLevel="1">
      <c r="B31" s="266" t="s">
        <v>256</v>
      </c>
      <c r="C31" s="266"/>
      <c r="D31" s="266"/>
      <c r="E31" s="266"/>
      <c r="F31" s="266"/>
      <c r="G31" s="267">
        <f>(H31*H30)</f>
        <v>15000</v>
      </c>
      <c r="H31" s="246">
        <f>((M31)/L30)*1000000</f>
        <v>500000</v>
      </c>
      <c r="I31" s="230">
        <f>(M31/L30)</f>
        <v>0.5</v>
      </c>
      <c r="J31" s="415" t="s">
        <v>243</v>
      </c>
      <c r="K31" s="672" t="s">
        <v>218</v>
      </c>
      <c r="L31" s="232"/>
      <c r="M31" s="255">
        <f>(L30*0.5)</f>
        <v>500</v>
      </c>
      <c r="N31" s="268">
        <f>'MP E-S Ene 24'!M23</f>
        <v>5</v>
      </c>
      <c r="O31" s="234">
        <f t="shared" ref="O31:O38" si="7">(M31*N31)</f>
        <v>2500</v>
      </c>
      <c r="P31" s="416">
        <f>((18.5/2)*L30)</f>
        <v>9250</v>
      </c>
      <c r="Q31" s="269"/>
      <c r="R31" s="255" t="e">
        <f>(Q30*0.5)</f>
        <v>#REF!</v>
      </c>
      <c r="S31" s="269"/>
      <c r="T31" s="255">
        <f>(S30*0.5)</f>
        <v>0</v>
      </c>
      <c r="U31" s="236"/>
      <c r="V31" s="249">
        <f>((M31*V30)/L30)*1000</f>
        <v>500</v>
      </c>
      <c r="W31" s="238"/>
      <c r="X31" s="238"/>
      <c r="Y31" s="238"/>
      <c r="Z31" s="238"/>
      <c r="AA31" s="238"/>
      <c r="AB31" s="238"/>
      <c r="AC31" s="238"/>
      <c r="AD31" s="238"/>
      <c r="AE31" s="238"/>
      <c r="AF31" s="238"/>
      <c r="AG31" s="238"/>
      <c r="AH31" s="238"/>
      <c r="AI31" s="238"/>
      <c r="AJ31" s="238"/>
    </row>
    <row r="32" spans="1:36" s="213" customFormat="1" ht="18" customHeight="1" outlineLevel="1">
      <c r="B32" s="266" t="s">
        <v>257</v>
      </c>
      <c r="C32" s="266"/>
      <c r="D32" s="266"/>
      <c r="E32" s="266"/>
      <c r="F32" s="266"/>
      <c r="G32" s="267">
        <f>(H32*H30)</f>
        <v>750</v>
      </c>
      <c r="H32" s="246">
        <f>(M32/L30)*1000000</f>
        <v>25000</v>
      </c>
      <c r="I32" s="230">
        <f>(M32/L30)</f>
        <v>2.5000000000000001E-2</v>
      </c>
      <c r="J32" s="415" t="s">
        <v>244</v>
      </c>
      <c r="K32" s="672" t="s">
        <v>208</v>
      </c>
      <c r="L32" s="232"/>
      <c r="M32" s="242">
        <f>(L30*0.025)</f>
        <v>25</v>
      </c>
      <c r="N32" s="234">
        <f>'MP E-S Ene 24'!M8</f>
        <v>237.8</v>
      </c>
      <c r="O32" s="234">
        <f t="shared" si="7"/>
        <v>5945</v>
      </c>
      <c r="P32" s="417">
        <f>SUM(P30:P31)</f>
        <v>54715.237999999998</v>
      </c>
      <c r="Q32" s="232"/>
      <c r="R32" s="242" t="e">
        <f>(Q30*0.025)</f>
        <v>#REF!</v>
      </c>
      <c r="S32" s="232"/>
      <c r="T32" s="242">
        <f>(S30*0.025)</f>
        <v>0</v>
      </c>
      <c r="U32" s="236"/>
      <c r="V32" s="237">
        <f>((M32*V30)/L30)*1000</f>
        <v>25</v>
      </c>
      <c r="W32" s="241"/>
      <c r="X32" s="241"/>
      <c r="Y32" s="238"/>
      <c r="Z32" s="238"/>
      <c r="AA32" s="238"/>
      <c r="AB32" s="238"/>
      <c r="AC32" s="238"/>
      <c r="AD32" s="238"/>
      <c r="AE32" s="238"/>
      <c r="AF32" s="238"/>
      <c r="AG32" s="238"/>
      <c r="AH32" s="238"/>
      <c r="AI32" s="238"/>
      <c r="AJ32" s="238"/>
    </row>
    <row r="33" spans="2:36" s="213" customFormat="1" ht="18" customHeight="1" outlineLevel="1">
      <c r="B33" s="266" t="s">
        <v>258</v>
      </c>
      <c r="C33" s="266"/>
      <c r="D33" s="266"/>
      <c r="E33" s="266"/>
      <c r="F33" s="266"/>
      <c r="G33" s="267">
        <f>(H33*H30)</f>
        <v>2745</v>
      </c>
      <c r="H33" s="246">
        <f>(I33*0.61)*1000000</f>
        <v>91500</v>
      </c>
      <c r="I33" s="230">
        <f>(M33/L30)</f>
        <v>0.15</v>
      </c>
      <c r="J33" s="415" t="s">
        <v>245</v>
      </c>
      <c r="K33" s="672" t="s">
        <v>214</v>
      </c>
      <c r="L33" s="232"/>
      <c r="M33" s="233">
        <f>(L30*0.15)</f>
        <v>150</v>
      </c>
      <c r="N33" s="234">
        <f>('MP E-S Ene 24'!M16)</f>
        <v>20.409800000000001</v>
      </c>
      <c r="O33" s="234">
        <f t="shared" si="7"/>
        <v>3061.4700000000003</v>
      </c>
      <c r="P33" s="243">
        <f>ROUNDUP((SUM(P32)/L30),1)</f>
        <v>54.800000000000004</v>
      </c>
      <c r="Q33" s="232"/>
      <c r="R33" s="233" t="e">
        <f>(Q30*0.15)</f>
        <v>#REF!</v>
      </c>
      <c r="S33" s="232"/>
      <c r="T33" s="233">
        <f>(S30*0.15)</f>
        <v>0</v>
      </c>
      <c r="U33" s="240" t="s">
        <v>565</v>
      </c>
      <c r="V33" s="237">
        <f>((M33*V30)/L30)*1000</f>
        <v>150</v>
      </c>
      <c r="W33" s="260"/>
      <c r="X33" s="260"/>
      <c r="Y33" s="241"/>
      <c r="Z33" s="241"/>
      <c r="AA33" s="241"/>
      <c r="AB33" s="241"/>
      <c r="AC33" s="241"/>
      <c r="AD33" s="241"/>
      <c r="AE33" s="241"/>
      <c r="AF33" s="241"/>
      <c r="AG33" s="241"/>
      <c r="AH33" s="241"/>
      <c r="AI33" s="241"/>
      <c r="AJ33" s="241"/>
    </row>
    <row r="34" spans="2:36" s="213" customFormat="1" ht="18" customHeight="1" outlineLevel="1">
      <c r="B34" s="278" t="s">
        <v>259</v>
      </c>
      <c r="C34" s="278"/>
      <c r="D34" s="278"/>
      <c r="E34" s="278"/>
      <c r="F34" s="278"/>
      <c r="G34" s="267">
        <f>(H34*H30)</f>
        <v>11250</v>
      </c>
      <c r="H34" s="246">
        <f>(M34/L30)*1000000</f>
        <v>375000</v>
      </c>
      <c r="I34" s="230">
        <f>(M34/L30)</f>
        <v>0.375</v>
      </c>
      <c r="J34" s="415" t="s">
        <v>246</v>
      </c>
      <c r="K34" s="672" t="s">
        <v>217</v>
      </c>
      <c r="L34" s="232"/>
      <c r="M34" s="255">
        <f>(L30*0.375)</f>
        <v>375</v>
      </c>
      <c r="N34" s="268">
        <f>'MP E-S Ene 24'!M22</f>
        <v>37</v>
      </c>
      <c r="O34" s="234">
        <f t="shared" si="7"/>
        <v>13875</v>
      </c>
      <c r="P34" s="244">
        <f>(P35-P33)/P33</f>
        <v>-0.27007299270072999</v>
      </c>
      <c r="Q34" s="232"/>
      <c r="R34" s="255" t="e">
        <f>(Q30*0.375)</f>
        <v>#REF!</v>
      </c>
      <c r="S34" s="232"/>
      <c r="T34" s="255">
        <f>(S30*0.375)</f>
        <v>0</v>
      </c>
      <c r="U34" s="271" t="s">
        <v>260</v>
      </c>
      <c r="V34" s="249">
        <f>((M34*V30)/L30)*1000</f>
        <v>375</v>
      </c>
      <c r="W34" s="238"/>
      <c r="X34" s="238"/>
      <c r="Y34" s="260"/>
      <c r="Z34" s="260"/>
      <c r="AA34" s="260"/>
      <c r="AB34" s="260"/>
      <c r="AC34" s="260"/>
      <c r="AD34" s="260"/>
      <c r="AE34" s="260"/>
      <c r="AF34" s="260"/>
      <c r="AG34" s="260"/>
      <c r="AH34" s="260"/>
      <c r="AI34" s="260"/>
      <c r="AJ34" s="260"/>
    </row>
    <row r="35" spans="2:36" s="213" customFormat="1" ht="18" customHeight="1" outlineLevel="1">
      <c r="B35" s="266" t="s">
        <v>261</v>
      </c>
      <c r="C35" s="266"/>
      <c r="D35" s="266"/>
      <c r="E35" s="266"/>
      <c r="F35" s="266"/>
      <c r="G35" s="267">
        <f>(H35*H30)</f>
        <v>1350</v>
      </c>
      <c r="H35" s="246">
        <f>(I35*0.75)*1000000</f>
        <v>45000</v>
      </c>
      <c r="I35" s="230">
        <f>(M35/L30)</f>
        <v>0.06</v>
      </c>
      <c r="J35" s="415" t="s">
        <v>247</v>
      </c>
      <c r="K35" s="672" t="s">
        <v>215</v>
      </c>
      <c r="L35" s="232"/>
      <c r="M35" s="242">
        <f>(L30*0.06)</f>
        <v>60</v>
      </c>
      <c r="N35" s="268">
        <f>('MP E-S Ene 24'!M17)</f>
        <v>28.062800000000003</v>
      </c>
      <c r="O35" s="234">
        <f t="shared" si="7"/>
        <v>1683.7680000000003</v>
      </c>
      <c r="P35" s="256">
        <v>40</v>
      </c>
      <c r="Q35" s="232"/>
      <c r="R35" s="242" t="e">
        <f>(Q30*0.06)</f>
        <v>#REF!</v>
      </c>
      <c r="S35" s="232"/>
      <c r="T35" s="242">
        <f>(S30*0.06)</f>
        <v>0</v>
      </c>
      <c r="U35" s="272">
        <f>((P35*60)/2000)*1</f>
        <v>1.2</v>
      </c>
      <c r="V35" s="237">
        <f>((M35*V30)/L30)*1000</f>
        <v>60</v>
      </c>
      <c r="W35" s="238"/>
      <c r="X35" s="238"/>
      <c r="Y35" s="238"/>
      <c r="Z35" s="238"/>
      <c r="AA35" s="238"/>
      <c r="AB35" s="238"/>
      <c r="AC35" s="238"/>
      <c r="AD35" s="238"/>
      <c r="AE35" s="238"/>
      <c r="AF35" s="238"/>
      <c r="AG35" s="238"/>
      <c r="AH35" s="238"/>
      <c r="AI35" s="238"/>
      <c r="AJ35" s="238"/>
    </row>
    <row r="36" spans="2:36" s="213" customFormat="1" ht="18" customHeight="1" outlineLevel="1">
      <c r="B36" s="266" t="s">
        <v>265</v>
      </c>
      <c r="C36" s="266"/>
      <c r="D36" s="266"/>
      <c r="E36" s="266"/>
      <c r="F36" s="266"/>
      <c r="G36" s="267">
        <f>(H36*H30)</f>
        <v>1200</v>
      </c>
      <c r="H36" s="246">
        <f>(M36/L30)*1000000</f>
        <v>40000</v>
      </c>
      <c r="I36" s="230">
        <f>(M36/L30)</f>
        <v>0.04</v>
      </c>
      <c r="J36" s="415" t="s">
        <v>248</v>
      </c>
      <c r="K36" s="673" t="s">
        <v>216</v>
      </c>
      <c r="L36" s="232"/>
      <c r="M36" s="255">
        <f>(L30*0.04)</f>
        <v>40</v>
      </c>
      <c r="N36" s="268">
        <f>('MP E-S Ene 24'!M21)</f>
        <v>285</v>
      </c>
      <c r="O36" s="234">
        <f t="shared" si="7"/>
        <v>11400</v>
      </c>
      <c r="P36" s="244"/>
      <c r="Q36" s="232"/>
      <c r="R36" s="255" t="e">
        <f>(Q30*0.04)</f>
        <v>#REF!</v>
      </c>
      <c r="S36" s="232"/>
      <c r="T36" s="255">
        <f>(S30*0.04)</f>
        <v>0</v>
      </c>
      <c r="U36" s="240" t="s">
        <v>564</v>
      </c>
      <c r="V36" s="249">
        <f>((M36*V30)/L30)*1000</f>
        <v>40</v>
      </c>
      <c r="W36" s="238"/>
      <c r="X36" s="238"/>
      <c r="Y36" s="260"/>
      <c r="Z36" s="260"/>
      <c r="AA36" s="260"/>
      <c r="AB36" s="260"/>
      <c r="AC36" s="260"/>
      <c r="AD36" s="260"/>
      <c r="AE36" s="260"/>
      <c r="AF36" s="260"/>
      <c r="AG36" s="260"/>
      <c r="AH36" s="260"/>
      <c r="AI36" s="260"/>
      <c r="AJ36" s="260"/>
    </row>
    <row r="37" spans="2:36" s="213" customFormat="1" ht="18" customHeight="1" outlineLevel="1">
      <c r="B37" s="203"/>
      <c r="I37" s="250"/>
      <c r="J37" s="415" t="s">
        <v>251</v>
      </c>
      <c r="K37" s="672" t="s">
        <v>204</v>
      </c>
      <c r="L37" s="232"/>
      <c r="M37" s="247">
        <f>L30-((M31+M34+(M32/2)+(M33/2)+(M35/2)+(M36/8)))</f>
        <v>2.5</v>
      </c>
      <c r="N37" s="234"/>
      <c r="O37" s="234">
        <f t="shared" si="7"/>
        <v>0</v>
      </c>
      <c r="P37" s="232"/>
      <c r="Q37" s="232"/>
      <c r="R37" s="247" t="e">
        <f>Q30-((R31+R34+(R32/2)+(R33/2)+(R35/2)+(R36/8)))</f>
        <v>#REF!</v>
      </c>
      <c r="S37" s="232"/>
      <c r="T37" s="247">
        <f>S30-((T31+T34+(T32/2)+(T33/2)+(T35/2)+(T36/8)))</f>
        <v>0</v>
      </c>
      <c r="U37" s="271" t="s">
        <v>262</v>
      </c>
      <c r="W37" s="262"/>
      <c r="X37" s="262"/>
      <c r="Y37" s="262"/>
      <c r="Z37" s="262"/>
      <c r="AA37" s="262"/>
      <c r="AB37" s="262"/>
      <c r="AC37" s="262"/>
      <c r="AD37" s="262"/>
      <c r="AE37" s="262"/>
      <c r="AF37" s="262"/>
      <c r="AG37" s="262"/>
      <c r="AH37" s="262"/>
      <c r="AI37" s="262"/>
      <c r="AJ37" s="262"/>
    </row>
    <row r="38" spans="2:36" s="213" customFormat="1" ht="18" customHeight="1" outlineLevel="1">
      <c r="B38" s="203"/>
      <c r="E38" s="213" t="s">
        <v>574</v>
      </c>
      <c r="G38" s="438"/>
      <c r="I38" s="250"/>
      <c r="J38" s="415" t="s">
        <v>252</v>
      </c>
      <c r="K38" s="672" t="s">
        <v>249</v>
      </c>
      <c r="L38" s="232"/>
      <c r="M38" s="251">
        <f>(L30/20)</f>
        <v>50</v>
      </c>
      <c r="N38" s="234">
        <f>('MP E-S Ene 24'!M10)</f>
        <v>140</v>
      </c>
      <c r="O38" s="234">
        <f t="shared" si="7"/>
        <v>7000</v>
      </c>
      <c r="P38" s="275"/>
      <c r="Q38" s="232"/>
      <c r="R38" s="251" t="e">
        <f>(Q30/20)</f>
        <v>#REF!</v>
      </c>
      <c r="S38" s="232"/>
      <c r="T38" s="251">
        <f>(S30/20)</f>
        <v>0</v>
      </c>
      <c r="U38" s="272">
        <f>((P35*60)/2000)*0.5</f>
        <v>0.6</v>
      </c>
      <c r="W38" s="203"/>
      <c r="X38" s="203"/>
      <c r="Y38" s="253"/>
      <c r="Z38" s="253"/>
      <c r="AA38" s="253"/>
      <c r="AB38" s="253"/>
      <c r="AC38" s="253"/>
      <c r="AD38" s="253"/>
      <c r="AE38" s="253"/>
      <c r="AF38" s="253"/>
      <c r="AG38" s="253"/>
      <c r="AH38" s="253"/>
      <c r="AI38" s="253"/>
      <c r="AJ38" s="253"/>
    </row>
    <row r="39" spans="2:36" s="213" customFormat="1" ht="18" customHeight="1">
      <c r="B39" s="203"/>
      <c r="C39" s="203"/>
      <c r="D39" s="203"/>
      <c r="E39" s="203"/>
      <c r="F39" s="203"/>
      <c r="G39" s="203" t="s">
        <v>240</v>
      </c>
      <c r="H39" s="203">
        <f>1/500</f>
        <v>2E-3</v>
      </c>
      <c r="I39" s="219"/>
      <c r="J39" s="661" t="s">
        <v>241</v>
      </c>
      <c r="K39" s="662" t="s">
        <v>3</v>
      </c>
      <c r="L39" s="663">
        <v>100</v>
      </c>
      <c r="M39" s="664" t="s">
        <v>242</v>
      </c>
      <c r="N39" s="665"/>
      <c r="O39" s="220"/>
      <c r="P39" s="221">
        <f>SUM(O40:O45)</f>
        <v>1825.8415</v>
      </c>
      <c r="Q39" s="222" t="e">
        <f>(#REF!)</f>
        <v>#REF!</v>
      </c>
      <c r="R39" s="223" t="s">
        <v>242</v>
      </c>
      <c r="S39" s="224"/>
      <c r="T39" s="225" t="s">
        <v>242</v>
      </c>
      <c r="U39" s="226">
        <f>(P39/L39)</f>
        <v>18.258414999999999</v>
      </c>
      <c r="V39" s="227">
        <v>1</v>
      </c>
      <c r="W39" s="228"/>
      <c r="X39" s="228"/>
      <c r="Y39" s="228"/>
      <c r="Z39" s="228"/>
      <c r="AA39" s="228"/>
      <c r="AB39" s="228"/>
      <c r="AC39" s="228"/>
      <c r="AD39" s="228"/>
      <c r="AE39" s="228"/>
      <c r="AF39" s="228"/>
      <c r="AG39" s="228"/>
      <c r="AH39" s="228"/>
      <c r="AI39" s="228"/>
      <c r="AJ39" s="228"/>
    </row>
    <row r="40" spans="2:36" s="213" customFormat="1" ht="18" customHeight="1" outlineLevel="1">
      <c r="B40" s="203"/>
      <c r="C40" s="203"/>
      <c r="D40" s="203"/>
      <c r="E40" s="203"/>
      <c r="F40" s="203"/>
      <c r="G40" s="229">
        <f>H40*H39</f>
        <v>380</v>
      </c>
      <c r="H40" s="229">
        <f>((M40*0.95)/L39)*1000000</f>
        <v>190000</v>
      </c>
      <c r="I40" s="230">
        <f>(M40/L39)</f>
        <v>0.2</v>
      </c>
      <c r="J40" s="415" t="s">
        <v>243</v>
      </c>
      <c r="K40" s="673" t="s">
        <v>216</v>
      </c>
      <c r="L40" s="232"/>
      <c r="M40" s="233">
        <f>(L39*0.2)</f>
        <v>20</v>
      </c>
      <c r="N40" s="234">
        <f>37</f>
        <v>37</v>
      </c>
      <c r="O40" s="234">
        <f>(M40*N40)</f>
        <v>740</v>
      </c>
      <c r="P40" s="235">
        <f>(18.5/8)*L39</f>
        <v>231.25</v>
      </c>
      <c r="Q40" s="232"/>
      <c r="R40" s="233" t="e">
        <f>(Q39*0.2)</f>
        <v>#REF!</v>
      </c>
      <c r="S40" s="232"/>
      <c r="T40" s="233">
        <f>(S39*0.2)</f>
        <v>0</v>
      </c>
      <c r="U40" s="236"/>
      <c r="V40" s="237">
        <f>((M40*V39)/L39)*1000</f>
        <v>200</v>
      </c>
      <c r="W40" s="238"/>
      <c r="X40" s="238"/>
      <c r="Y40" s="238"/>
      <c r="Z40" s="238"/>
      <c r="AA40" s="238"/>
      <c r="AB40" s="238"/>
      <c r="AC40" s="238"/>
      <c r="AD40" s="238"/>
      <c r="AE40" s="238"/>
      <c r="AF40" s="238"/>
      <c r="AG40" s="238"/>
      <c r="AH40" s="238"/>
      <c r="AI40" s="238"/>
      <c r="AJ40" s="238"/>
    </row>
    <row r="41" spans="2:36" s="213" customFormat="1" ht="18" customHeight="1" outlineLevel="1">
      <c r="B41" s="203"/>
      <c r="C41" s="203"/>
      <c r="D41" s="203"/>
      <c r="E41" s="203"/>
      <c r="F41" s="203"/>
      <c r="G41" s="229">
        <f>H41*H39</f>
        <v>450</v>
      </c>
      <c r="H41" s="229">
        <f>((M41*0.9)/L39)*1000000</f>
        <v>225000</v>
      </c>
      <c r="I41" s="230">
        <f>(M41/L39)</f>
        <v>0.25</v>
      </c>
      <c r="J41" s="415" t="s">
        <v>244</v>
      </c>
      <c r="K41" s="673" t="s">
        <v>209</v>
      </c>
      <c r="L41" s="232"/>
      <c r="M41" s="233">
        <f>(L39*0.25)</f>
        <v>25</v>
      </c>
      <c r="N41" s="234">
        <f>370/25</f>
        <v>14.8</v>
      </c>
      <c r="O41" s="234">
        <f>(M41*N41)</f>
        <v>370</v>
      </c>
      <c r="P41" s="239">
        <f>SUM(P39:P40)</f>
        <v>2057.0915</v>
      </c>
      <c r="Q41" s="232"/>
      <c r="R41" s="233" t="e">
        <f>(Q39*0.25)</f>
        <v>#REF!</v>
      </c>
      <c r="S41" s="232"/>
      <c r="T41" s="233">
        <f>(S39*0.25)</f>
        <v>0</v>
      </c>
      <c r="U41" s="240"/>
      <c r="V41" s="237">
        <f>((M41*V39)/L39)*1000</f>
        <v>250</v>
      </c>
      <c r="W41" s="241"/>
      <c r="X41" s="241"/>
      <c r="Y41" s="241"/>
      <c r="Z41" s="241"/>
      <c r="AA41" s="241"/>
      <c r="AB41" s="241"/>
      <c r="AC41" s="241"/>
      <c r="AD41" s="241"/>
      <c r="AE41" s="241"/>
      <c r="AF41" s="241"/>
      <c r="AG41" s="241"/>
      <c r="AH41" s="241"/>
      <c r="AI41" s="241"/>
      <c r="AJ41" s="241"/>
    </row>
    <row r="42" spans="2:36" s="213" customFormat="1" ht="18" customHeight="1" outlineLevel="1">
      <c r="B42" s="203"/>
      <c r="C42" s="203"/>
      <c r="D42" s="203"/>
      <c r="E42" s="203"/>
      <c r="F42" s="203"/>
      <c r="G42" s="229">
        <f>H42*H39</f>
        <v>20</v>
      </c>
      <c r="H42" s="229">
        <f>(M42/L39)*1000000</f>
        <v>10000</v>
      </c>
      <c r="I42" s="230">
        <f>(M42/L39)</f>
        <v>0.01</v>
      </c>
      <c r="J42" s="415" t="s">
        <v>245</v>
      </c>
      <c r="K42" s="673" t="s">
        <v>212</v>
      </c>
      <c r="L42" s="232"/>
      <c r="M42" s="242">
        <f>(L39*0.01)</f>
        <v>1</v>
      </c>
      <c r="N42" s="234">
        <v>13.569000000000001</v>
      </c>
      <c r="O42" s="234">
        <f>(M42*N42)</f>
        <v>13.569000000000001</v>
      </c>
      <c r="P42" s="243">
        <f>SUM(P41)/L39</f>
        <v>20.570914999999999</v>
      </c>
      <c r="Q42" s="232"/>
      <c r="R42" s="242" t="e">
        <f>(Q39*0.01)</f>
        <v>#REF!</v>
      </c>
      <c r="S42" s="232"/>
      <c r="T42" s="242">
        <f>(S39*0.01)</f>
        <v>0</v>
      </c>
      <c r="U42" s="236"/>
      <c r="V42" s="237">
        <f>((M42*V39)/L39)*1000</f>
        <v>10</v>
      </c>
      <c r="W42" s="238"/>
      <c r="X42" s="238"/>
      <c r="Y42" s="238"/>
      <c r="Z42" s="238"/>
      <c r="AA42" s="238"/>
      <c r="AB42" s="238"/>
      <c r="AC42" s="238"/>
      <c r="AD42" s="238"/>
      <c r="AE42" s="238"/>
      <c r="AF42" s="238"/>
      <c r="AG42" s="238"/>
      <c r="AH42" s="238"/>
      <c r="AI42" s="238"/>
      <c r="AJ42" s="238"/>
    </row>
    <row r="43" spans="2:36" s="213" customFormat="1" ht="18" customHeight="1" outlineLevel="1">
      <c r="B43" s="203"/>
      <c r="C43" s="203"/>
      <c r="D43" s="203"/>
      <c r="E43" s="203"/>
      <c r="F43" s="203"/>
      <c r="G43" s="229">
        <f>H43*H39</f>
        <v>30</v>
      </c>
      <c r="H43" s="229">
        <f>(M43/L39)*1000000</f>
        <v>15000</v>
      </c>
      <c r="I43" s="230">
        <f>(M43/L39)</f>
        <v>1.4999999999999999E-2</v>
      </c>
      <c r="J43" s="415" t="s">
        <v>246</v>
      </c>
      <c r="K43" s="673" t="s">
        <v>228</v>
      </c>
      <c r="L43" s="232"/>
      <c r="M43" s="242">
        <f>(L39*0.015)</f>
        <v>1.5</v>
      </c>
      <c r="N43" s="234">
        <f>75.75/50</f>
        <v>1.5149999999999999</v>
      </c>
      <c r="O43" s="234">
        <f>(M43*N43)</f>
        <v>2.2725</v>
      </c>
      <c r="P43" s="244">
        <f>(P44-P42)/P42</f>
        <v>0.21530811828253632</v>
      </c>
      <c r="Q43" s="232"/>
      <c r="R43" s="242" t="e">
        <f>(Q39*0.015)</f>
        <v>#REF!</v>
      </c>
      <c r="S43" s="232"/>
      <c r="T43" s="242">
        <f>(S39*0.015)</f>
        <v>0</v>
      </c>
      <c r="U43" s="245"/>
      <c r="V43" s="237">
        <f>((M43*V39)/L39)*1000</f>
        <v>15</v>
      </c>
      <c r="W43" s="238"/>
      <c r="X43" s="238"/>
      <c r="Y43" s="238"/>
      <c r="Z43" s="238"/>
      <c r="AA43" s="238"/>
      <c r="AB43" s="238"/>
      <c r="AC43" s="238"/>
      <c r="AD43" s="238"/>
      <c r="AE43" s="238"/>
      <c r="AF43" s="238"/>
      <c r="AG43" s="238"/>
      <c r="AH43" s="238"/>
      <c r="AI43" s="238"/>
      <c r="AJ43" s="238"/>
    </row>
    <row r="44" spans="2:36" s="213" customFormat="1" ht="18" customHeight="1" outlineLevel="1">
      <c r="B44" s="203"/>
      <c r="C44" s="203"/>
      <c r="D44" s="203"/>
      <c r="E44" s="203"/>
      <c r="F44" s="203"/>
      <c r="G44" s="246"/>
      <c r="H44" s="229"/>
      <c r="I44" s="230">
        <f>(M44/L39)</f>
        <v>0.9</v>
      </c>
      <c r="J44" s="415" t="s">
        <v>247</v>
      </c>
      <c r="K44" s="673" t="s">
        <v>204</v>
      </c>
      <c r="L44" s="232"/>
      <c r="M44" s="247">
        <f>(L39*0.9)</f>
        <v>90</v>
      </c>
      <c r="N44" s="234"/>
      <c r="O44" s="234"/>
      <c r="P44" s="248">
        <v>25</v>
      </c>
      <c r="Q44" s="232"/>
      <c r="R44" s="247" t="e">
        <f>(Q39*0.9)</f>
        <v>#REF!</v>
      </c>
      <c r="S44" s="232"/>
      <c r="T44" s="247">
        <f>(S39*0.9)</f>
        <v>0</v>
      </c>
      <c r="U44" s="236"/>
      <c r="V44" s="249">
        <f>((M44*V39)/L39)*1000</f>
        <v>900</v>
      </c>
      <c r="W44" s="238"/>
      <c r="X44" s="238"/>
      <c r="Y44" s="238"/>
      <c r="Z44" s="238"/>
      <c r="AA44" s="238"/>
      <c r="AB44" s="238"/>
      <c r="AC44" s="238"/>
      <c r="AD44" s="238"/>
      <c r="AE44" s="238"/>
      <c r="AF44" s="238"/>
      <c r="AG44" s="238"/>
      <c r="AH44" s="238"/>
      <c r="AI44" s="238"/>
      <c r="AJ44" s="238"/>
    </row>
    <row r="45" spans="2:36" s="213" customFormat="1" ht="18" customHeight="1" outlineLevel="1">
      <c r="B45" s="203"/>
      <c r="C45" s="203"/>
      <c r="D45" s="203"/>
      <c r="E45" s="203"/>
      <c r="F45" s="203"/>
      <c r="G45" s="203"/>
      <c r="H45" s="229"/>
      <c r="I45" s="250"/>
      <c r="J45" s="415" t="s">
        <v>248</v>
      </c>
      <c r="K45" s="673" t="s">
        <v>249</v>
      </c>
      <c r="L45" s="232"/>
      <c r="M45" s="251">
        <f>(L39/20)</f>
        <v>5</v>
      </c>
      <c r="N45" s="234">
        <f>('MP E-S Ene 24'!M10)</f>
        <v>140</v>
      </c>
      <c r="O45" s="234">
        <f>(M45*N45)</f>
        <v>700</v>
      </c>
      <c r="P45" s="232"/>
      <c r="Q45" s="232"/>
      <c r="R45" s="251" t="e">
        <f>(Q39/20)</f>
        <v>#REF!</v>
      </c>
      <c r="S45" s="232"/>
      <c r="T45" s="251">
        <f>(S39/20)</f>
        <v>0</v>
      </c>
      <c r="U45" s="252"/>
      <c r="V45" s="252"/>
      <c r="W45" s="253"/>
      <c r="X45" s="253"/>
      <c r="Y45" s="253"/>
      <c r="Z45" s="253"/>
      <c r="AA45" s="253"/>
      <c r="AB45" s="253"/>
      <c r="AC45" s="253"/>
      <c r="AD45" s="253"/>
      <c r="AE45" s="253"/>
      <c r="AF45" s="253"/>
      <c r="AG45" s="253"/>
      <c r="AH45" s="253"/>
      <c r="AI45" s="253"/>
      <c r="AJ45" s="253"/>
    </row>
    <row r="46" spans="2:36" s="213" customFormat="1" ht="18" customHeight="1">
      <c r="B46" s="263" t="s">
        <v>50</v>
      </c>
      <c r="C46" s="439"/>
      <c r="D46" s="439"/>
      <c r="E46" s="439"/>
      <c r="F46" s="439"/>
      <c r="G46" s="440" t="s">
        <v>255</v>
      </c>
      <c r="H46" s="449">
        <f>60/2000</f>
        <v>0.03</v>
      </c>
      <c r="I46" s="203"/>
      <c r="J46" s="661" t="s">
        <v>266</v>
      </c>
      <c r="K46" s="666" t="s">
        <v>70</v>
      </c>
      <c r="L46" s="663">
        <v>1000</v>
      </c>
      <c r="M46" s="664" t="s">
        <v>242</v>
      </c>
      <c r="N46" s="665"/>
      <c r="O46" s="220"/>
      <c r="P46" s="221">
        <f>SUM(O47:O50)</f>
        <v>276.75</v>
      </c>
      <c r="Q46" s="222" t="e">
        <f>(#REF!)</f>
        <v>#REF!</v>
      </c>
      <c r="R46" s="223" t="s">
        <v>242</v>
      </c>
      <c r="S46" s="254"/>
      <c r="T46" s="225"/>
      <c r="U46" s="265">
        <f>(P46/L46)</f>
        <v>0.27675</v>
      </c>
      <c r="V46" s="227">
        <v>1</v>
      </c>
      <c r="W46" s="238"/>
      <c r="X46" s="238"/>
      <c r="Y46" s="228"/>
      <c r="Z46" s="228"/>
      <c r="AA46" s="228"/>
      <c r="AB46" s="228"/>
      <c r="AC46" s="228"/>
      <c r="AD46" s="228"/>
      <c r="AE46" s="228"/>
      <c r="AF46" s="228"/>
      <c r="AG46" s="228"/>
      <c r="AH46" s="228"/>
      <c r="AI46" s="228"/>
      <c r="AJ46" s="228"/>
    </row>
    <row r="47" spans="2:36" s="213" customFormat="1" ht="18" customHeight="1" outlineLevel="1">
      <c r="B47" s="266" t="s">
        <v>257</v>
      </c>
      <c r="C47" s="445"/>
      <c r="D47" s="445"/>
      <c r="E47" s="445"/>
      <c r="F47" s="445"/>
      <c r="G47" s="443">
        <f>(H47*H46)</f>
        <v>15000</v>
      </c>
      <c r="H47" s="444">
        <f>(M47/L46)*1000000</f>
        <v>500000</v>
      </c>
      <c r="I47" s="230">
        <f>(M47/L46)</f>
        <v>0.5</v>
      </c>
      <c r="J47" s="415" t="s">
        <v>243</v>
      </c>
      <c r="K47" s="672" t="s">
        <v>267</v>
      </c>
      <c r="L47" s="232"/>
      <c r="M47" s="242">
        <f>(L46*0.5)</f>
        <v>500</v>
      </c>
      <c r="N47" s="300">
        <f>('MP E-S Ene 24'!M25)</f>
        <v>0</v>
      </c>
      <c r="O47" s="234">
        <f>(M47*N47)</f>
        <v>0</v>
      </c>
      <c r="P47" s="235">
        <f>((18.5/18)*L46)</f>
        <v>1027.7777777777776</v>
      </c>
      <c r="Q47" s="232"/>
      <c r="R47" s="242" t="e">
        <f>(Q46*0.5)</f>
        <v>#REF!</v>
      </c>
      <c r="S47" s="232"/>
      <c r="T47" s="242">
        <f>(S46*0.5)</f>
        <v>0</v>
      </c>
      <c r="U47" s="236"/>
      <c r="V47" s="237">
        <f>((M47*V46)/L46)*1000</f>
        <v>500</v>
      </c>
      <c r="W47" s="241"/>
      <c r="X47" s="241"/>
      <c r="Y47" s="238"/>
      <c r="Z47" s="238"/>
      <c r="AA47" s="238"/>
      <c r="AB47" s="238"/>
      <c r="AC47" s="238"/>
      <c r="AD47" s="238"/>
      <c r="AE47" s="238"/>
      <c r="AF47" s="238"/>
      <c r="AG47" s="238"/>
      <c r="AH47" s="238"/>
      <c r="AI47" s="238"/>
      <c r="AJ47" s="238"/>
    </row>
    <row r="48" spans="2:36" s="213" customFormat="1" ht="18" customHeight="1" outlineLevel="1">
      <c r="B48" s="266" t="s">
        <v>258</v>
      </c>
      <c r="C48" s="266"/>
      <c r="D48" s="266"/>
      <c r="E48" s="266"/>
      <c r="F48" s="266"/>
      <c r="G48" s="267">
        <f>(H48*H46)</f>
        <v>124.19999999999999</v>
      </c>
      <c r="H48" s="246">
        <f>(I48*0.46)*1000000</f>
        <v>4140</v>
      </c>
      <c r="I48" s="230">
        <f>(M48/L46)</f>
        <v>8.9999999999999993E-3</v>
      </c>
      <c r="J48" s="415" t="s">
        <v>244</v>
      </c>
      <c r="K48" s="672" t="s">
        <v>206</v>
      </c>
      <c r="L48" s="232"/>
      <c r="M48" s="233">
        <f>(L46*0.009)</f>
        <v>9</v>
      </c>
      <c r="N48" s="234">
        <f>('MP E-S Ene 24'!M7)</f>
        <v>30.75</v>
      </c>
      <c r="O48" s="234">
        <f>(M48*N48)</f>
        <v>276.75</v>
      </c>
      <c r="P48" s="243">
        <f>SUM(P46:P47)/L46</f>
        <v>1.3045277777777775</v>
      </c>
      <c r="Q48" s="232"/>
      <c r="R48" s="233" t="e">
        <f>(Q46*0.009)</f>
        <v>#REF!</v>
      </c>
      <c r="S48" s="232"/>
      <c r="T48" s="233">
        <f>(S46*0.009)</f>
        <v>0</v>
      </c>
      <c r="U48" s="240"/>
      <c r="V48" s="237">
        <f>((M48*V46)/L46)*1000</f>
        <v>9</v>
      </c>
      <c r="W48" s="260"/>
      <c r="X48" s="260"/>
      <c r="Y48" s="241"/>
      <c r="Z48" s="241"/>
      <c r="AA48" s="241"/>
      <c r="AB48" s="241"/>
      <c r="AC48" s="241"/>
      <c r="AD48" s="241"/>
      <c r="AE48" s="241"/>
      <c r="AF48" s="241"/>
      <c r="AG48" s="241"/>
      <c r="AH48" s="241"/>
      <c r="AI48" s="241"/>
      <c r="AJ48" s="241"/>
    </row>
    <row r="49" spans="2:36" s="213" customFormat="1" ht="18" customHeight="1" outlineLevel="1">
      <c r="B49" s="203"/>
      <c r="C49" s="203"/>
      <c r="D49" s="203"/>
      <c r="E49" s="203"/>
      <c r="F49" s="203"/>
      <c r="G49" s="203"/>
      <c r="H49" s="203"/>
      <c r="I49" s="250"/>
      <c r="J49" s="415" t="s">
        <v>245</v>
      </c>
      <c r="K49" s="672" t="s">
        <v>204</v>
      </c>
      <c r="L49" s="232"/>
      <c r="M49" s="255">
        <f>(L46*0.7)</f>
        <v>700</v>
      </c>
      <c r="N49" s="234"/>
      <c r="O49" s="234">
        <f>(M49*N49)</f>
        <v>0</v>
      </c>
      <c r="P49" s="244">
        <f>(P50-P48)/P48</f>
        <v>4.3659263675659572</v>
      </c>
      <c r="Q49" s="232"/>
      <c r="R49" s="255" t="e">
        <f>(Q46*0.7)</f>
        <v>#REF!</v>
      </c>
      <c r="S49" s="232"/>
      <c r="T49" s="255">
        <f>(S46*0.7)</f>
        <v>0</v>
      </c>
      <c r="U49" s="271" t="s">
        <v>262</v>
      </c>
      <c r="V49" s="249">
        <f>((M49*V46)/L46)*1000</f>
        <v>700</v>
      </c>
      <c r="W49" s="262"/>
      <c r="X49" s="262"/>
      <c r="Y49" s="262"/>
      <c r="Z49" s="262"/>
      <c r="AA49" s="262"/>
      <c r="AB49" s="262"/>
      <c r="AC49" s="262"/>
      <c r="AD49" s="262"/>
      <c r="AE49" s="262"/>
      <c r="AF49" s="262"/>
      <c r="AG49" s="262"/>
      <c r="AH49" s="262"/>
      <c r="AI49" s="262"/>
      <c r="AJ49" s="262"/>
    </row>
    <row r="50" spans="2:36" s="213" customFormat="1" ht="18" customHeight="1" outlineLevel="1">
      <c r="B50" s="203"/>
      <c r="C50" s="203"/>
      <c r="D50" s="203"/>
      <c r="E50" s="203"/>
      <c r="F50" s="203"/>
      <c r="G50" s="274"/>
      <c r="H50" s="203"/>
      <c r="I50" s="250"/>
      <c r="J50" s="415" t="s">
        <v>246</v>
      </c>
      <c r="K50" s="672" t="s">
        <v>249</v>
      </c>
      <c r="L50" s="232"/>
      <c r="M50" s="251">
        <f>(L46/20)</f>
        <v>50</v>
      </c>
      <c r="N50" s="234"/>
      <c r="O50" s="234">
        <f>(M50*N50)</f>
        <v>0</v>
      </c>
      <c r="P50" s="256">
        <v>7</v>
      </c>
      <c r="Q50" s="232"/>
      <c r="R50" s="251" t="e">
        <f>(Q46/20)</f>
        <v>#REF!</v>
      </c>
      <c r="S50" s="232"/>
      <c r="T50" s="251">
        <f>(S46/20)</f>
        <v>0</v>
      </c>
      <c r="U50" s="272">
        <f>((P50*60)/2000)*0.5</f>
        <v>0.105</v>
      </c>
      <c r="V50" s="273"/>
      <c r="W50" s="276"/>
      <c r="X50" s="276"/>
      <c r="Y50" s="253"/>
      <c r="Z50" s="253"/>
      <c r="AA50" s="253"/>
      <c r="AB50" s="253"/>
      <c r="AC50" s="253"/>
      <c r="AD50" s="253"/>
      <c r="AE50" s="253"/>
      <c r="AF50" s="253"/>
      <c r="AG50" s="253"/>
      <c r="AH50" s="253"/>
      <c r="AI50" s="253"/>
      <c r="AJ50" s="253"/>
    </row>
    <row r="51" spans="2:36" s="213" customFormat="1" ht="18" customHeight="1">
      <c r="C51" s="203" t="s">
        <v>567</v>
      </c>
      <c r="D51" s="203"/>
      <c r="E51" s="203" t="s">
        <v>567</v>
      </c>
      <c r="F51" s="203" t="s">
        <v>568</v>
      </c>
      <c r="G51" s="203" t="s">
        <v>240</v>
      </c>
      <c r="H51" s="203">
        <f>1/500</f>
        <v>2E-3</v>
      </c>
      <c r="I51" s="219" t="s">
        <v>250</v>
      </c>
      <c r="J51" s="661" t="s">
        <v>639</v>
      </c>
      <c r="K51" s="452" t="s">
        <v>573</v>
      </c>
      <c r="L51" s="453">
        <v>200</v>
      </c>
      <c r="M51" s="454" t="s">
        <v>242</v>
      </c>
      <c r="N51" s="455"/>
      <c r="O51" s="220"/>
      <c r="P51" s="221">
        <f>SUM(O52:O60)</f>
        <v>22466.0285027955</v>
      </c>
      <c r="Q51" s="222"/>
      <c r="R51" s="223" t="s">
        <v>242</v>
      </c>
      <c r="S51" s="254"/>
      <c r="T51" s="225"/>
      <c r="U51" s="226">
        <f>(P51/L51)</f>
        <v>112.33014251397749</v>
      </c>
      <c r="V51" s="227">
        <v>1</v>
      </c>
      <c r="W51" s="228"/>
      <c r="X51" s="228"/>
      <c r="Y51" s="228"/>
      <c r="Z51" s="228"/>
      <c r="AA51" s="228"/>
      <c r="AB51" s="228"/>
      <c r="AC51" s="228"/>
      <c r="AD51" s="228"/>
      <c r="AE51" s="228"/>
      <c r="AF51" s="228"/>
      <c r="AG51" s="228"/>
      <c r="AH51" s="228"/>
      <c r="AI51" s="228"/>
      <c r="AJ51" s="228"/>
    </row>
    <row r="52" spans="2:36" s="213" customFormat="1" ht="18" customHeight="1" outlineLevel="1">
      <c r="C52" s="420">
        <f>(D52/D$60)</f>
        <v>4.3083386535411987E-2</v>
      </c>
      <c r="D52" s="203">
        <f>(M52*1.046)</f>
        <v>8.3680000000000003</v>
      </c>
      <c r="E52" s="420">
        <f t="shared" ref="E52:E58" si="8">(F52/F$59)</f>
        <v>4.310557982362153E-2</v>
      </c>
      <c r="F52" s="203">
        <f>(M52*1.046)</f>
        <v>8.3680000000000003</v>
      </c>
      <c r="G52" s="229">
        <f>H52*H51</f>
        <v>80</v>
      </c>
      <c r="H52" s="229">
        <f>(M52/L51)*1000000</f>
        <v>40000</v>
      </c>
      <c r="I52" s="250">
        <f>(M52/L51)</f>
        <v>0.04</v>
      </c>
      <c r="J52" s="415" t="s">
        <v>243</v>
      </c>
      <c r="K52" s="672" t="s">
        <v>224</v>
      </c>
      <c r="L52" s="232"/>
      <c r="M52" s="255">
        <f>(L51*0.04)</f>
        <v>8</v>
      </c>
      <c r="N52" s="234">
        <f>('MP E-S Ene 24'!M32)</f>
        <v>393.81003201707574</v>
      </c>
      <c r="O52" s="234">
        <f t="shared" ref="O52:O57" si="9">(M52*N52)</f>
        <v>3150.4802561366059</v>
      </c>
      <c r="P52" s="235">
        <f>18.5*L51</f>
        <v>3700</v>
      </c>
      <c r="Q52" s="232"/>
      <c r="R52" s="255">
        <f>(Q51*0.04)</f>
        <v>0</v>
      </c>
      <c r="S52" s="232"/>
      <c r="T52" s="255">
        <f>(S51*0.04)</f>
        <v>0</v>
      </c>
      <c r="U52" s="236"/>
      <c r="V52" s="249">
        <f>((M52*V51)/L51)*1000</f>
        <v>40</v>
      </c>
      <c r="W52" s="238"/>
      <c r="X52" s="238"/>
      <c r="Y52" s="238"/>
      <c r="Z52" s="238"/>
      <c r="AA52" s="238"/>
      <c r="AB52" s="238"/>
      <c r="AC52" s="238"/>
      <c r="AD52" s="238"/>
      <c r="AE52" s="238"/>
      <c r="AF52" s="238"/>
      <c r="AG52" s="238"/>
      <c r="AH52" s="238"/>
      <c r="AI52" s="238"/>
      <c r="AJ52" s="238"/>
    </row>
    <row r="53" spans="2:36" s="213" customFormat="1" ht="18" customHeight="1" outlineLevel="1">
      <c r="C53" s="420">
        <f t="shared" ref="C53:C59" si="10">(D53/D$60)</f>
        <v>4.3047346417612292E-2</v>
      </c>
      <c r="D53" s="203">
        <f>(M53*0.929)</f>
        <v>8.3610000000000007</v>
      </c>
      <c r="E53" s="420">
        <f t="shared" si="8"/>
        <v>4.3069521140690688E-2</v>
      </c>
      <c r="F53" s="203">
        <f>(M53*0.929)</f>
        <v>8.3610000000000007</v>
      </c>
      <c r="G53" s="229">
        <f>H53*H51</f>
        <v>90</v>
      </c>
      <c r="H53" s="229">
        <f>(M53/L51)*1000000</f>
        <v>45000</v>
      </c>
      <c r="I53" s="250">
        <f>(M53/L51)</f>
        <v>4.4999999999999998E-2</v>
      </c>
      <c r="J53" s="415" t="s">
        <v>244</v>
      </c>
      <c r="K53" s="672" t="s">
        <v>220</v>
      </c>
      <c r="L53" s="232"/>
      <c r="M53" s="255">
        <f>(L51*0.045)</f>
        <v>9</v>
      </c>
      <c r="N53" s="234">
        <f>('MP E-S Ene 24'!M27)</f>
        <v>0</v>
      </c>
      <c r="O53" s="234">
        <f t="shared" si="9"/>
        <v>0</v>
      </c>
      <c r="P53" s="239">
        <f>SUM(P51:P52)</f>
        <v>26166.0285027955</v>
      </c>
      <c r="Q53" s="232"/>
      <c r="R53" s="255">
        <f>(Q51*0.045)</f>
        <v>0</v>
      </c>
      <c r="S53" s="232"/>
      <c r="T53" s="255">
        <f>(S51*0.045)</f>
        <v>0</v>
      </c>
      <c r="U53" s="240"/>
      <c r="V53" s="249">
        <f>((M53*V51)/L51)*1000</f>
        <v>45</v>
      </c>
      <c r="W53" s="241"/>
      <c r="X53" s="241"/>
      <c r="Y53" s="241"/>
      <c r="Z53" s="241"/>
      <c r="AA53" s="241"/>
      <c r="AB53" s="241"/>
      <c r="AC53" s="241"/>
      <c r="AD53" s="241"/>
      <c r="AE53" s="241"/>
      <c r="AF53" s="241"/>
      <c r="AG53" s="241"/>
      <c r="AH53" s="241"/>
      <c r="AI53" s="241"/>
      <c r="AJ53" s="241"/>
    </row>
    <row r="54" spans="2:36" s="213" customFormat="1" ht="18" customHeight="1" outlineLevel="1">
      <c r="C54" s="420">
        <f t="shared" si="10"/>
        <v>4.3418044772123479E-2</v>
      </c>
      <c r="D54" s="203">
        <f>(M54*0.937)</f>
        <v>8.4329999999999998</v>
      </c>
      <c r="E54" s="420">
        <f t="shared" si="8"/>
        <v>4.3440410450836561E-2</v>
      </c>
      <c r="F54" s="203">
        <f>(M54*0.937)</f>
        <v>8.4329999999999998</v>
      </c>
      <c r="G54" s="229">
        <f>H54*H51</f>
        <v>90</v>
      </c>
      <c r="H54" s="229">
        <f>(M54/L51)*1000000</f>
        <v>45000</v>
      </c>
      <c r="I54" s="250">
        <f>(M54/L51)</f>
        <v>4.4999999999999998E-2</v>
      </c>
      <c r="J54" s="415" t="s">
        <v>245</v>
      </c>
      <c r="K54" s="672" t="s">
        <v>223</v>
      </c>
      <c r="L54" s="232"/>
      <c r="M54" s="255">
        <f>(L51*0.045)</f>
        <v>9</v>
      </c>
      <c r="N54" s="234">
        <f>('MP E-S Ene 24'!M31)</f>
        <v>1055.8031088082903</v>
      </c>
      <c r="O54" s="234">
        <f t="shared" si="9"/>
        <v>9502.2279792746122</v>
      </c>
      <c r="P54" s="243">
        <f>SUM(P53)/L51</f>
        <v>130.83014251397751</v>
      </c>
      <c r="Q54" s="232"/>
      <c r="R54" s="255">
        <f>(Q51*0.045)</f>
        <v>0</v>
      </c>
      <c r="S54" s="232"/>
      <c r="T54" s="255">
        <f>(S51*0.045)</f>
        <v>0</v>
      </c>
      <c r="U54" s="236"/>
      <c r="V54" s="249">
        <f>((M54*V51)/L51)*1000</f>
        <v>45</v>
      </c>
      <c r="W54" s="238"/>
      <c r="X54" s="238"/>
      <c r="Y54" s="238"/>
      <c r="Z54" s="238"/>
      <c r="AA54" s="238"/>
      <c r="AB54" s="238"/>
      <c r="AC54" s="238"/>
      <c r="AD54" s="238"/>
      <c r="AE54" s="238"/>
      <c r="AF54" s="238"/>
      <c r="AG54" s="238"/>
      <c r="AH54" s="238"/>
      <c r="AI54" s="238"/>
      <c r="AJ54" s="238"/>
    </row>
    <row r="55" spans="2:36" s="213" customFormat="1" ht="18" customHeight="1" outlineLevel="1">
      <c r="C55" s="420">
        <f t="shared" si="10"/>
        <v>4.4669151718598761E-2</v>
      </c>
      <c r="D55" s="203">
        <f>(M55*0.964)</f>
        <v>8.6760000000000002</v>
      </c>
      <c r="E55" s="420">
        <f t="shared" si="8"/>
        <v>4.469216187257892E-2</v>
      </c>
      <c r="F55" s="203">
        <f>(M55*0.964)</f>
        <v>8.6760000000000002</v>
      </c>
      <c r="G55" s="229">
        <f>H55*H51</f>
        <v>90</v>
      </c>
      <c r="H55" s="229">
        <f>(M55/L51)*1000000</f>
        <v>45000</v>
      </c>
      <c r="I55" s="250">
        <f>(M55/L51)</f>
        <v>4.4999999999999998E-2</v>
      </c>
      <c r="J55" s="415" t="s">
        <v>246</v>
      </c>
      <c r="K55" s="672" t="s">
        <v>221</v>
      </c>
      <c r="L55" s="232"/>
      <c r="M55" s="255">
        <f>(L51*0.045)</f>
        <v>9</v>
      </c>
      <c r="N55" s="234">
        <f>('MP E-S Ene 24'!M29)</f>
        <v>706.13562970936482</v>
      </c>
      <c r="O55" s="234">
        <f t="shared" si="9"/>
        <v>6355.2206673842829</v>
      </c>
      <c r="P55" s="244">
        <f>(P56-P54)/P54</f>
        <v>1.2854060559328346</v>
      </c>
      <c r="Q55" s="232"/>
      <c r="R55" s="255">
        <f>(Q51*0.045)</f>
        <v>0</v>
      </c>
      <c r="S55" s="232"/>
      <c r="T55" s="255">
        <f>(S51*0.045)</f>
        <v>0</v>
      </c>
      <c r="U55" s="245"/>
      <c r="V55" s="249">
        <f>((M55*V51)/L51)*1000</f>
        <v>45</v>
      </c>
      <c r="W55" s="238"/>
      <c r="X55" s="238"/>
      <c r="Y55" s="238"/>
      <c r="Z55" s="238"/>
      <c r="AA55" s="238"/>
      <c r="AB55" s="238"/>
      <c r="AC55" s="238"/>
      <c r="AD55" s="238"/>
      <c r="AE55" s="238"/>
      <c r="AF55" s="238"/>
      <c r="AG55" s="238"/>
      <c r="AH55" s="238"/>
      <c r="AI55" s="238"/>
      <c r="AJ55" s="238"/>
    </row>
    <row r="56" spans="2:36" s="213" customFormat="1" ht="18" customHeight="1" outlineLevel="1">
      <c r="C56" s="420">
        <f t="shared" si="10"/>
        <v>4.0498795230347835E-2</v>
      </c>
      <c r="D56" s="203">
        <f>(M56*0.874)</f>
        <v>7.8659999999999997</v>
      </c>
      <c r="E56" s="420">
        <f t="shared" si="8"/>
        <v>4.0519657133437734E-2</v>
      </c>
      <c r="F56" s="203">
        <f>(M56*0.874)</f>
        <v>7.8659999999999997</v>
      </c>
      <c r="G56" s="229">
        <f>H56*H51</f>
        <v>90</v>
      </c>
      <c r="H56" s="229">
        <f>(M56/L51)*1000000</f>
        <v>45000</v>
      </c>
      <c r="I56" s="250">
        <f>(M56/L51)</f>
        <v>4.4999999999999998E-2</v>
      </c>
      <c r="J56" s="415" t="s">
        <v>247</v>
      </c>
      <c r="K56" s="672" t="s">
        <v>226</v>
      </c>
      <c r="L56" s="232"/>
      <c r="M56" s="255">
        <f>(L51*0.045)</f>
        <v>9</v>
      </c>
      <c r="N56" s="234">
        <f>('MP E-S Ene 24'!M34)</f>
        <v>110.93</v>
      </c>
      <c r="O56" s="234">
        <f t="shared" si="9"/>
        <v>998.37000000000012</v>
      </c>
      <c r="P56" s="256">
        <v>299</v>
      </c>
      <c r="Q56" s="232"/>
      <c r="R56" s="255">
        <f>(Q51*0.045)</f>
        <v>0</v>
      </c>
      <c r="S56" s="232"/>
      <c r="T56" s="255">
        <f>(S51*0.045)</f>
        <v>0</v>
      </c>
      <c r="U56" s="236"/>
      <c r="V56" s="249">
        <f>((M56*V51)/L51)*1000</f>
        <v>45</v>
      </c>
      <c r="W56" s="238"/>
      <c r="X56" s="238"/>
      <c r="Y56" s="238"/>
      <c r="Z56" s="238"/>
      <c r="AA56" s="238"/>
      <c r="AB56" s="238"/>
      <c r="AC56" s="238"/>
      <c r="AD56" s="238"/>
      <c r="AE56" s="238"/>
      <c r="AF56" s="238"/>
      <c r="AG56" s="238"/>
      <c r="AH56" s="238"/>
      <c r="AI56" s="238"/>
      <c r="AJ56" s="238"/>
    </row>
    <row r="57" spans="2:36" s="213" customFormat="1" ht="18" customHeight="1" outlineLevel="1">
      <c r="B57" s="424">
        <f>(SUM(D52:D57)/L51)*1000</f>
        <v>310.64000000000004</v>
      </c>
      <c r="C57" s="420">
        <f t="shared" si="10"/>
        <v>0.10515476656300841</v>
      </c>
      <c r="D57" s="203">
        <f>(M57*0.851)</f>
        <v>20.423999999999999</v>
      </c>
      <c r="E57" s="420">
        <f t="shared" si="8"/>
        <v>0.10520893431138219</v>
      </c>
      <c r="F57" s="203">
        <f>(M57*0.851)</f>
        <v>20.423999999999999</v>
      </c>
      <c r="G57" s="229">
        <f>H57*H51</f>
        <v>240</v>
      </c>
      <c r="H57" s="229">
        <f>(M57/L51)*1000000</f>
        <v>120000</v>
      </c>
      <c r="I57" s="250">
        <f>(M57/L51)</f>
        <v>0.12</v>
      </c>
      <c r="J57" s="415" t="s">
        <v>248</v>
      </c>
      <c r="K57" s="672" t="s">
        <v>507</v>
      </c>
      <c r="L57" s="232"/>
      <c r="M57" s="255">
        <f>(L51*0.12)</f>
        <v>24</v>
      </c>
      <c r="N57" s="234">
        <f>('MP E-S Ene 24'!M38)</f>
        <v>13.5304</v>
      </c>
      <c r="O57" s="234">
        <f t="shared" si="9"/>
        <v>324.7296</v>
      </c>
      <c r="P57" s="232"/>
      <c r="Q57" s="232"/>
      <c r="R57" s="255">
        <f>(Q51*0.12)</f>
        <v>0</v>
      </c>
      <c r="S57" s="232"/>
      <c r="T57" s="255">
        <f>(S51*0.12)</f>
        <v>0</v>
      </c>
      <c r="U57" s="257"/>
      <c r="V57" s="249">
        <f>((M57*V51)/L51)*1000</f>
        <v>120</v>
      </c>
      <c r="W57" s="258"/>
      <c r="X57" s="258"/>
      <c r="Y57" s="258"/>
      <c r="Z57" s="258"/>
      <c r="AA57" s="258"/>
      <c r="AB57" s="258"/>
      <c r="AC57" s="258"/>
      <c r="AD57" s="258"/>
      <c r="AE57" s="258"/>
      <c r="AF57" s="258"/>
      <c r="AG57" s="258"/>
      <c r="AH57" s="258"/>
      <c r="AI57" s="258"/>
      <c r="AJ57" s="258"/>
    </row>
    <row r="58" spans="2:36" s="213" customFormat="1" ht="18" customHeight="1" outlineLevel="1">
      <c r="C58" s="423">
        <f t="shared" si="10"/>
        <v>5.2000741396709016E-2</v>
      </c>
      <c r="D58" s="203">
        <f>(M58*1.01)</f>
        <v>10.1</v>
      </c>
      <c r="E58" s="420">
        <f t="shared" si="8"/>
        <v>0.67996373526745246</v>
      </c>
      <c r="F58" s="421">
        <f>(M58+M59)</f>
        <v>132</v>
      </c>
      <c r="G58" s="229">
        <f>H58*H51</f>
        <v>100</v>
      </c>
      <c r="H58" s="229">
        <f>(M58/L51)*1000000</f>
        <v>50000</v>
      </c>
      <c r="I58" s="250">
        <f>(M58/L51)</f>
        <v>0.05</v>
      </c>
      <c r="J58" s="415" t="s">
        <v>251</v>
      </c>
      <c r="K58" s="672" t="s">
        <v>211</v>
      </c>
      <c r="L58" s="232"/>
      <c r="M58" s="255">
        <f>(L51*0.05)</f>
        <v>10</v>
      </c>
      <c r="N58" s="234">
        <f>('MP E-S Ene 24'!M11)</f>
        <v>73.5</v>
      </c>
      <c r="O58" s="234">
        <f>(M58*N58)</f>
        <v>735</v>
      </c>
      <c r="P58" s="232"/>
      <c r="Q58" s="232"/>
      <c r="R58" s="255">
        <f>(Q51*0.05)</f>
        <v>0</v>
      </c>
      <c r="S58" s="232"/>
      <c r="T58" s="255">
        <f>(S51*0.05)</f>
        <v>0</v>
      </c>
      <c r="U58" s="259"/>
      <c r="V58" s="249">
        <f>((M58*V51)/L51)*1000</f>
        <v>50</v>
      </c>
      <c r="W58" s="260"/>
      <c r="X58" s="260"/>
      <c r="Y58" s="260"/>
      <c r="Z58" s="260"/>
      <c r="AA58" s="260"/>
      <c r="AB58" s="260"/>
      <c r="AC58" s="260"/>
      <c r="AD58" s="260"/>
      <c r="AE58" s="260"/>
      <c r="AF58" s="260"/>
      <c r="AG58" s="260"/>
      <c r="AH58" s="260"/>
      <c r="AI58" s="260"/>
      <c r="AJ58" s="260"/>
    </row>
    <row r="59" spans="2:36" s="213" customFormat="1" ht="18" customHeight="1" outlineLevel="1">
      <c r="C59" s="432">
        <f t="shared" si="10"/>
        <v>0.62812776736618814</v>
      </c>
      <c r="D59" s="431">
        <f>(M59*1)</f>
        <v>122</v>
      </c>
      <c r="E59" s="422">
        <f>SUM(E52:E58)</f>
        <v>1</v>
      </c>
      <c r="F59" s="203">
        <f>SUM(F52:F58)</f>
        <v>194.12799999999999</v>
      </c>
      <c r="G59" s="203"/>
      <c r="H59" s="229"/>
      <c r="I59" s="250">
        <f>(M59/L51)</f>
        <v>0.61</v>
      </c>
      <c r="J59" s="415" t="s">
        <v>252</v>
      </c>
      <c r="K59" s="672" t="s">
        <v>204</v>
      </c>
      <c r="L59" s="232"/>
      <c r="M59" s="255">
        <f>L51-(M52+M53+M54+M55+M56+M57+M58)</f>
        <v>122</v>
      </c>
      <c r="N59" s="234"/>
      <c r="O59" s="234">
        <f>(M59*N59)</f>
        <v>0</v>
      </c>
      <c r="P59" s="232"/>
      <c r="Q59" s="232"/>
      <c r="R59" s="255">
        <f>Q51-(R52+R53+R54+R55+R56+R57+R58)</f>
        <v>0</v>
      </c>
      <c r="S59" s="232"/>
      <c r="T59" s="255">
        <f>S51-(T52+T53+T54+T55+T56+T57+T58)</f>
        <v>0</v>
      </c>
      <c r="U59" s="261"/>
      <c r="V59" s="249">
        <f>((M59*V51)/L51)*1000</f>
        <v>610</v>
      </c>
      <c r="W59" s="262"/>
      <c r="X59" s="262"/>
      <c r="Y59" s="262"/>
      <c r="Z59" s="262"/>
      <c r="AA59" s="262"/>
      <c r="AB59" s="262"/>
      <c r="AC59" s="262"/>
      <c r="AD59" s="262"/>
      <c r="AE59" s="262"/>
      <c r="AF59" s="262"/>
      <c r="AG59" s="262"/>
      <c r="AH59" s="262"/>
      <c r="AI59" s="262"/>
      <c r="AJ59" s="262"/>
    </row>
    <row r="60" spans="2:36" s="213" customFormat="1" ht="18" customHeight="1" outlineLevel="1">
      <c r="C60" s="425">
        <f>SUM(C52:C59)</f>
        <v>1</v>
      </c>
      <c r="D60" s="213">
        <f>SUM(D52:D59)</f>
        <v>194.22800000000001</v>
      </c>
      <c r="E60" s="203"/>
      <c r="F60" s="203"/>
      <c r="G60" s="203"/>
      <c r="H60" s="250"/>
      <c r="I60" s="250"/>
      <c r="J60" s="415" t="s">
        <v>253</v>
      </c>
      <c r="K60" s="672" t="s">
        <v>249</v>
      </c>
      <c r="L60" s="232"/>
      <c r="M60" s="251">
        <f>(L51/20)</f>
        <v>10</v>
      </c>
      <c r="N60" s="234">
        <f>('MP E-S Ene 24'!M10)</f>
        <v>140</v>
      </c>
      <c r="O60" s="234">
        <f>(M60*N60)</f>
        <v>1400</v>
      </c>
      <c r="P60" s="232"/>
      <c r="Q60" s="232"/>
      <c r="R60" s="251">
        <f>(Q51/20)</f>
        <v>0</v>
      </c>
      <c r="S60" s="232"/>
      <c r="T60" s="251">
        <f>(S51/20)</f>
        <v>0</v>
      </c>
      <c r="U60" s="252"/>
      <c r="V60" s="252"/>
      <c r="W60" s="228"/>
      <c r="X60" s="228"/>
      <c r="Y60" s="253"/>
      <c r="Z60" s="253"/>
      <c r="AA60" s="253"/>
      <c r="AB60" s="253"/>
      <c r="AC60" s="253"/>
      <c r="AD60" s="253"/>
      <c r="AE60" s="253"/>
      <c r="AF60" s="253"/>
      <c r="AG60" s="253"/>
      <c r="AH60" s="253"/>
      <c r="AI60" s="253"/>
      <c r="AJ60" s="253"/>
    </row>
    <row r="61" spans="2:36" s="213" customFormat="1" ht="18" customHeight="1">
      <c r="C61" s="203" t="s">
        <v>567</v>
      </c>
      <c r="D61" s="203"/>
      <c r="E61" s="203" t="s">
        <v>567</v>
      </c>
      <c r="F61" s="203" t="s">
        <v>568</v>
      </c>
      <c r="G61" s="203" t="s">
        <v>240</v>
      </c>
      <c r="H61" s="203">
        <f>1/500</f>
        <v>2E-3</v>
      </c>
      <c r="I61" s="219" t="s">
        <v>250</v>
      </c>
      <c r="J61" s="451" t="s">
        <v>254</v>
      </c>
      <c r="K61" s="452" t="s">
        <v>571</v>
      </c>
      <c r="L61" s="453">
        <v>200</v>
      </c>
      <c r="M61" s="454" t="s">
        <v>242</v>
      </c>
      <c r="N61" s="455"/>
      <c r="O61" s="220"/>
      <c r="P61" s="221">
        <f>SUM(O62:O67)</f>
        <v>23834.546682157677</v>
      </c>
      <c r="Q61" s="222"/>
      <c r="R61" s="223" t="s">
        <v>242</v>
      </c>
      <c r="S61" s="254"/>
      <c r="T61" s="225"/>
      <c r="U61" s="226">
        <f>(P61/L61)</f>
        <v>119.17273341078838</v>
      </c>
      <c r="V61" s="227">
        <v>1</v>
      </c>
      <c r="W61" s="228"/>
      <c r="X61" s="228"/>
      <c r="Y61" s="228"/>
      <c r="Z61" s="228"/>
      <c r="AA61" s="228"/>
      <c r="AB61" s="228"/>
      <c r="AC61" s="228"/>
      <c r="AD61" s="228"/>
      <c r="AE61" s="228"/>
      <c r="AF61" s="228"/>
      <c r="AG61" s="228"/>
      <c r="AH61" s="228"/>
      <c r="AI61" s="228"/>
      <c r="AJ61" s="228"/>
    </row>
    <row r="62" spans="2:36" s="213" customFormat="1" ht="18" customHeight="1" outlineLevel="1">
      <c r="C62" s="420">
        <f>(D62/D$67)</f>
        <v>7.6999585578118535E-2</v>
      </c>
      <c r="D62" s="433">
        <f>(M62*0.929)</f>
        <v>14.864000000000001</v>
      </c>
      <c r="E62" s="420">
        <f>(F62/F$66)</f>
        <v>7.7039494143256976E-2</v>
      </c>
      <c r="F62" s="203">
        <f>(M62*0.929)</f>
        <v>14.864000000000001</v>
      </c>
      <c r="G62" s="229">
        <f>H62*H61</f>
        <v>160</v>
      </c>
      <c r="H62" s="229">
        <f>(M62/L61)*1000000</f>
        <v>80000</v>
      </c>
      <c r="I62" s="250">
        <f>(M62/L61)</f>
        <v>0.08</v>
      </c>
      <c r="J62" s="415" t="s">
        <v>243</v>
      </c>
      <c r="K62" s="672" t="s">
        <v>220</v>
      </c>
      <c r="L62" s="232"/>
      <c r="M62" s="255">
        <f>(L61*0.08)</f>
        <v>16</v>
      </c>
      <c r="N62" s="234">
        <f>('MP E-S Ene 24'!M27)</f>
        <v>0</v>
      </c>
      <c r="O62" s="234">
        <f t="shared" ref="O62:O67" si="11">(M62*N62)</f>
        <v>0</v>
      </c>
      <c r="P62" s="235">
        <f>(18.5*L61)</f>
        <v>3700</v>
      </c>
      <c r="Q62" s="232"/>
      <c r="R62" s="255">
        <f>(Q61*0.08)</f>
        <v>0</v>
      </c>
      <c r="S62" s="232"/>
      <c r="T62" s="255">
        <f>(S61*0.08)</f>
        <v>0</v>
      </c>
      <c r="U62" s="236"/>
      <c r="V62" s="249">
        <f>((M62*V61)/L61)*1000</f>
        <v>80</v>
      </c>
      <c r="W62" s="238"/>
      <c r="X62" s="238"/>
      <c r="Y62" s="238"/>
      <c r="Z62" s="238"/>
      <c r="AA62" s="238"/>
      <c r="AB62" s="238"/>
      <c r="AC62" s="238"/>
      <c r="AD62" s="238"/>
      <c r="AE62" s="238"/>
      <c r="AF62" s="238"/>
      <c r="AG62" s="238"/>
      <c r="AH62" s="238"/>
      <c r="AI62" s="238"/>
      <c r="AJ62" s="238"/>
    </row>
    <row r="63" spans="2:36" s="213" customFormat="1" ht="18" customHeight="1" outlineLevel="1">
      <c r="B63" s="424">
        <f>(SUM(D62:D64)/L61)*1000</f>
        <v>304.7</v>
      </c>
      <c r="C63" s="420">
        <f>(D63/D$67)</f>
        <v>7.9983423124740993E-2</v>
      </c>
      <c r="D63" s="433">
        <f>(M63*0.965)</f>
        <v>15.44</v>
      </c>
      <c r="E63" s="420">
        <f>(F63/F$66)</f>
        <v>8.0024878200476837E-2</v>
      </c>
      <c r="F63" s="203">
        <f>(M63*0.965)</f>
        <v>15.44</v>
      </c>
      <c r="G63" s="229">
        <f>H63*H61</f>
        <v>160</v>
      </c>
      <c r="H63" s="229">
        <f>(M63/L61)*1000000</f>
        <v>80000</v>
      </c>
      <c r="I63" s="250">
        <f>(M63/L61)</f>
        <v>0.08</v>
      </c>
      <c r="J63" s="415" t="s">
        <v>244</v>
      </c>
      <c r="K63" s="672" t="s">
        <v>222</v>
      </c>
      <c r="L63" s="232"/>
      <c r="M63" s="255">
        <f>(L61*0.08)</f>
        <v>16</v>
      </c>
      <c r="N63" s="234">
        <f>('MP E-S Ene 24'!M30)</f>
        <v>978.21576763485484</v>
      </c>
      <c r="O63" s="234">
        <f t="shared" si="11"/>
        <v>15651.452282157677</v>
      </c>
      <c r="P63" s="239">
        <f>SUM(P61:P62)</f>
        <v>27534.546682157677</v>
      </c>
      <c r="Q63" s="232"/>
      <c r="R63" s="255">
        <f>(Q61*0.08)</f>
        <v>0</v>
      </c>
      <c r="S63" s="232"/>
      <c r="T63" s="255">
        <f>(S61*0.08)</f>
        <v>0</v>
      </c>
      <c r="U63" s="240"/>
      <c r="V63" s="249">
        <f>((M63*V61)/L61)*1000</f>
        <v>80</v>
      </c>
      <c r="W63" s="241"/>
      <c r="X63" s="241"/>
      <c r="Y63" s="241"/>
      <c r="Z63" s="241"/>
      <c r="AA63" s="241"/>
      <c r="AB63" s="241"/>
      <c r="AC63" s="241"/>
      <c r="AD63" s="241"/>
      <c r="AE63" s="241"/>
      <c r="AF63" s="241"/>
      <c r="AG63" s="241"/>
      <c r="AH63" s="241"/>
      <c r="AI63" s="241"/>
      <c r="AJ63" s="241"/>
    </row>
    <row r="64" spans="2:36" s="213" customFormat="1" ht="18" customHeight="1" outlineLevel="1">
      <c r="C64" s="420">
        <f>(D64/D$67)</f>
        <v>0.15870285951098217</v>
      </c>
      <c r="D64" s="433">
        <f>(M64*0.851)</f>
        <v>30.635999999999999</v>
      </c>
      <c r="E64" s="420">
        <f>(F64/F$66)</f>
        <v>0.15878511454338137</v>
      </c>
      <c r="F64" s="203">
        <f>(M64*0.851)</f>
        <v>30.635999999999999</v>
      </c>
      <c r="G64" s="229">
        <f>H64*H61</f>
        <v>360</v>
      </c>
      <c r="H64" s="229">
        <f>(M64/L61)*1000000</f>
        <v>180000</v>
      </c>
      <c r="I64" s="250">
        <f>(M64/L61)</f>
        <v>0.18</v>
      </c>
      <c r="J64" s="415" t="s">
        <v>245</v>
      </c>
      <c r="K64" s="672" t="s">
        <v>507</v>
      </c>
      <c r="L64" s="232"/>
      <c r="M64" s="255">
        <f>(L61*0.18)</f>
        <v>36</v>
      </c>
      <c r="N64" s="234">
        <f>('MP E-S Ene 24'!M38)</f>
        <v>13.5304</v>
      </c>
      <c r="O64" s="234">
        <f t="shared" si="11"/>
        <v>487.09440000000001</v>
      </c>
      <c r="P64" s="243">
        <f>SUM(P63)/L61</f>
        <v>137.6727334107884</v>
      </c>
      <c r="Q64" s="232"/>
      <c r="R64" s="255">
        <f>(Q61*0.18)</f>
        <v>0</v>
      </c>
      <c r="S64" s="232"/>
      <c r="T64" s="255">
        <f>(S61*0.18)</f>
        <v>0</v>
      </c>
      <c r="U64" s="236"/>
      <c r="V64" s="249">
        <f>((M64*V61)/L61)*1000</f>
        <v>180</v>
      </c>
      <c r="W64" s="238"/>
      <c r="X64" s="238"/>
      <c r="Y64" s="238"/>
      <c r="Z64" s="238"/>
      <c r="AA64" s="238"/>
      <c r="AB64" s="238"/>
      <c r="AC64" s="238"/>
      <c r="AD64" s="238"/>
      <c r="AE64" s="238"/>
      <c r="AF64" s="238"/>
      <c r="AG64" s="238"/>
      <c r="AH64" s="238"/>
      <c r="AI64" s="238"/>
      <c r="AJ64" s="238"/>
    </row>
    <row r="65" spans="1:36" s="213" customFormat="1" ht="18" customHeight="1" outlineLevel="1">
      <c r="C65" s="420">
        <f>(D65/D$67)</f>
        <v>5.2320762536261917E-2</v>
      </c>
      <c r="D65" s="433">
        <f>(M65*1.01)</f>
        <v>10.1</v>
      </c>
      <c r="E65" s="432">
        <f>(F65/F$66)</f>
        <v>0.68415051311288488</v>
      </c>
      <c r="F65" s="421">
        <f>(M65+M66)</f>
        <v>132</v>
      </c>
      <c r="G65" s="229">
        <f>H65*H61</f>
        <v>100</v>
      </c>
      <c r="H65" s="229">
        <f>(M65/L61)*1000000</f>
        <v>50000</v>
      </c>
      <c r="I65" s="250">
        <f>(M65/L61)</f>
        <v>0.05</v>
      </c>
      <c r="J65" s="415" t="s">
        <v>246</v>
      </c>
      <c r="K65" s="672" t="s">
        <v>572</v>
      </c>
      <c r="L65" s="232"/>
      <c r="M65" s="255">
        <f>(L61*0.05)</f>
        <v>10</v>
      </c>
      <c r="N65" s="234">
        <f>('MP E-S Ene 24'!M13)</f>
        <v>629.6</v>
      </c>
      <c r="O65" s="234">
        <f t="shared" si="11"/>
        <v>6296</v>
      </c>
      <c r="P65" s="244">
        <f>(P66-P64)/P64</f>
        <v>0.74326458154852737</v>
      </c>
      <c r="Q65" s="232"/>
      <c r="R65" s="255">
        <f>(Q61*0.05)</f>
        <v>0</v>
      </c>
      <c r="S65" s="232"/>
      <c r="T65" s="255">
        <f>(S61*0.05)</f>
        <v>0</v>
      </c>
      <c r="U65" s="245"/>
      <c r="V65" s="249">
        <f>((M65*V61)/L61)*1000</f>
        <v>50</v>
      </c>
      <c r="W65" s="238"/>
      <c r="X65" s="238"/>
      <c r="Y65" s="238"/>
      <c r="Z65" s="238"/>
      <c r="AA65" s="238"/>
      <c r="AB65" s="238"/>
      <c r="AC65" s="238"/>
      <c r="AD65" s="238"/>
      <c r="AE65" s="238"/>
      <c r="AF65" s="238"/>
      <c r="AG65" s="238"/>
      <c r="AH65" s="238"/>
      <c r="AI65" s="238"/>
      <c r="AJ65" s="238"/>
    </row>
    <row r="66" spans="1:36" s="213" customFormat="1" ht="18" customHeight="1" outlineLevel="1">
      <c r="C66" s="432">
        <f>(D66/D$67)</f>
        <v>0.63199336924989646</v>
      </c>
      <c r="D66" s="434">
        <f>(M66*1)</f>
        <v>122</v>
      </c>
      <c r="E66" s="422">
        <f>SUM(E61:E65)</f>
        <v>1</v>
      </c>
      <c r="F66" s="203">
        <f>SUM(F62:F65)</f>
        <v>192.94</v>
      </c>
      <c r="G66" s="246"/>
      <c r="H66" s="229"/>
      <c r="I66" s="250">
        <f>(M66/L61)</f>
        <v>0.61</v>
      </c>
      <c r="J66" s="415" t="s">
        <v>247</v>
      </c>
      <c r="K66" s="672" t="s">
        <v>204</v>
      </c>
      <c r="L66" s="232"/>
      <c r="M66" s="255">
        <f>L61-(M62+M63+M64+M65)</f>
        <v>122</v>
      </c>
      <c r="N66" s="234"/>
      <c r="O66" s="234">
        <f t="shared" si="11"/>
        <v>0</v>
      </c>
      <c r="P66" s="256">
        <v>240</v>
      </c>
      <c r="Q66" s="232"/>
      <c r="R66" s="255">
        <f>Q61-(R62+R63+R64+R65)</f>
        <v>0</v>
      </c>
      <c r="S66" s="232"/>
      <c r="T66" s="255">
        <f>S61-(T62+T63+T64+T65)</f>
        <v>0</v>
      </c>
      <c r="U66" s="236"/>
      <c r="V66" s="249">
        <f>((M66*V61)/L61)*1000</f>
        <v>610</v>
      </c>
      <c r="W66" s="238"/>
      <c r="X66" s="238"/>
      <c r="Y66" s="238"/>
      <c r="Z66" s="238"/>
      <c r="AA66" s="238"/>
      <c r="AB66" s="238"/>
      <c r="AC66" s="238"/>
      <c r="AD66" s="238"/>
      <c r="AE66" s="238"/>
      <c r="AF66" s="238"/>
      <c r="AG66" s="238"/>
      <c r="AH66" s="238"/>
      <c r="AI66" s="238"/>
      <c r="AJ66" s="238"/>
    </row>
    <row r="67" spans="1:36" s="213" customFormat="1" ht="18" customHeight="1" outlineLevel="1">
      <c r="B67" s="203"/>
      <c r="C67" s="422">
        <f>SUM(C62:C66)</f>
        <v>1</v>
      </c>
      <c r="D67" s="435">
        <f>SUM(D62:D66)</f>
        <v>193.04</v>
      </c>
      <c r="E67" s="203"/>
      <c r="G67" s="246"/>
      <c r="H67" s="229"/>
      <c r="I67" s="250"/>
      <c r="J67" s="415" t="s">
        <v>248</v>
      </c>
      <c r="K67" s="672" t="s">
        <v>249</v>
      </c>
      <c r="L67" s="232"/>
      <c r="M67" s="251">
        <f>(L61/20)</f>
        <v>10</v>
      </c>
      <c r="N67" s="234">
        <f>('MP E-S Ene 24'!M10)</f>
        <v>140</v>
      </c>
      <c r="O67" s="234">
        <f t="shared" si="11"/>
        <v>1400</v>
      </c>
      <c r="P67" s="232"/>
      <c r="Q67" s="232"/>
      <c r="R67" s="251">
        <f>(Q61/20)</f>
        <v>0</v>
      </c>
      <c r="S67" s="232"/>
      <c r="T67" s="251">
        <f>(S61/20)</f>
        <v>0</v>
      </c>
      <c r="U67" s="257"/>
      <c r="V67" s="257"/>
      <c r="W67" s="258"/>
      <c r="X67" s="258"/>
      <c r="Y67" s="258"/>
      <c r="Z67" s="258"/>
      <c r="AA67" s="258"/>
      <c r="AB67" s="258"/>
      <c r="AC67" s="258"/>
      <c r="AD67" s="258"/>
      <c r="AE67" s="258"/>
      <c r="AF67" s="258"/>
      <c r="AG67" s="258"/>
      <c r="AH67" s="258"/>
      <c r="AI67" s="258"/>
      <c r="AJ67" s="258"/>
    </row>
    <row r="68" spans="1:36" s="213" customFormat="1" ht="18" customHeight="1">
      <c r="A68" s="301" t="s">
        <v>412</v>
      </c>
      <c r="B68" s="301"/>
      <c r="C68" s="203" t="s">
        <v>567</v>
      </c>
      <c r="D68" s="301"/>
      <c r="E68" s="203" t="s">
        <v>412</v>
      </c>
      <c r="F68" s="203"/>
      <c r="G68" s="219" t="s">
        <v>268</v>
      </c>
      <c r="H68" s="279">
        <f>2/500</f>
        <v>4.0000000000000001E-3</v>
      </c>
      <c r="I68" s="203" t="s">
        <v>511</v>
      </c>
      <c r="J68" s="451" t="s">
        <v>411</v>
      </c>
      <c r="K68" s="458" t="s">
        <v>642</v>
      </c>
      <c r="L68" s="453">
        <v>200</v>
      </c>
      <c r="M68" s="454" t="s">
        <v>242</v>
      </c>
      <c r="N68" s="668">
        <f>(1350/9.46)</f>
        <v>142.70613107822408</v>
      </c>
      <c r="O68" s="220"/>
      <c r="P68" s="221">
        <f>SUM(O69:O74)</f>
        <v>77552.350000000006</v>
      </c>
      <c r="Q68" s="222"/>
      <c r="R68" s="223" t="s">
        <v>242</v>
      </c>
      <c r="S68" s="254"/>
      <c r="T68" s="225"/>
      <c r="U68" s="265">
        <f>(P68/L68)</f>
        <v>387.76175000000001</v>
      </c>
      <c r="V68" s="227">
        <v>1</v>
      </c>
      <c r="W68" s="238"/>
      <c r="X68" s="238"/>
      <c r="Y68" s="228"/>
      <c r="Z68" s="228"/>
      <c r="AA68" s="228"/>
      <c r="AB68" s="228"/>
      <c r="AC68" s="228"/>
      <c r="AD68" s="228"/>
      <c r="AE68" s="228"/>
      <c r="AF68" s="228"/>
      <c r="AG68" s="228"/>
      <c r="AH68" s="228"/>
      <c r="AI68" s="228"/>
      <c r="AJ68" s="228"/>
    </row>
    <row r="69" spans="1:36" s="213" customFormat="1" ht="18" customHeight="1" outlineLevel="1">
      <c r="A69" s="302">
        <f>(H69/10000)/100</f>
        <v>1.225E-2</v>
      </c>
      <c r="B69" s="266" t="s">
        <v>406</v>
      </c>
      <c r="C69" s="423" t="e">
        <f>(D69/D$73)</f>
        <v>#DIV/0!</v>
      </c>
      <c r="D69" s="203"/>
      <c r="E69" s="427">
        <f>(H69/1000000)</f>
        <v>1.225E-2</v>
      </c>
      <c r="F69" s="203"/>
      <c r="G69" s="267">
        <f>(H69*H68)</f>
        <v>49</v>
      </c>
      <c r="H69" s="418">
        <f>(I69*0.098)*1000000</f>
        <v>12250</v>
      </c>
      <c r="I69" s="250">
        <f>(M69/L68)</f>
        <v>0.125</v>
      </c>
      <c r="J69" s="415">
        <v>1.1000000000000001</v>
      </c>
      <c r="K69" s="672" t="s">
        <v>269</v>
      </c>
      <c r="L69" s="232"/>
      <c r="M69" s="242">
        <f>(L68*0.125)</f>
        <v>25</v>
      </c>
      <c r="N69" s="268">
        <f>('MP E-S Ene 24'!M37)</f>
        <v>1.5149999999999999</v>
      </c>
      <c r="O69" s="234">
        <f t="shared" ref="O69:O74" si="12">(M69*N69)</f>
        <v>37.875</v>
      </c>
      <c r="P69" s="235">
        <f>9*L68</f>
        <v>1800</v>
      </c>
      <c r="Q69" s="269"/>
      <c r="R69" s="242">
        <f>(Q68*0.125)</f>
        <v>0</v>
      </c>
      <c r="S69" s="269"/>
      <c r="T69" s="242">
        <f>(S68*0.125)</f>
        <v>0</v>
      </c>
      <c r="U69" s="287">
        <f>(N69*T69)</f>
        <v>0</v>
      </c>
      <c r="V69" s="281">
        <f>((M69*V68)/L68)*1000</f>
        <v>125</v>
      </c>
      <c r="W69" s="426">
        <f>(H69/10000)</f>
        <v>1.2250000000000001</v>
      </c>
      <c r="X69" s="238"/>
      <c r="Y69" s="238"/>
      <c r="Z69" s="238"/>
      <c r="AA69" s="238"/>
      <c r="AB69" s="238"/>
      <c r="AC69" s="238"/>
      <c r="AD69" s="238"/>
      <c r="AE69" s="238"/>
      <c r="AF69" s="238"/>
      <c r="AG69" s="238"/>
      <c r="AH69" s="238"/>
      <c r="AI69" s="238"/>
      <c r="AJ69" s="238"/>
    </row>
    <row r="70" spans="1:36" s="213" customFormat="1" ht="18" customHeight="1" outlineLevel="1">
      <c r="A70" s="302">
        <f>(H70/10000)/100</f>
        <v>1.0000000000000002E-2</v>
      </c>
      <c r="B70" s="266" t="s">
        <v>407</v>
      </c>
      <c r="C70" s="423" t="e">
        <f>(D70/D$73)</f>
        <v>#DIV/0!</v>
      </c>
      <c r="D70" s="203"/>
      <c r="E70" s="427">
        <f>(H70/1000000)</f>
        <v>1.0000000000000002E-2</v>
      </c>
      <c r="F70" s="203"/>
      <c r="G70" s="267">
        <f>(H70*H68)</f>
        <v>40.000000000000007</v>
      </c>
      <c r="H70" s="418">
        <f>(I70*0.2)*1000000</f>
        <v>10000.000000000002</v>
      </c>
      <c r="I70" s="250">
        <f>(M70/L68)</f>
        <v>0.05</v>
      </c>
      <c r="J70" s="415">
        <v>1.2</v>
      </c>
      <c r="K70" s="672" t="s">
        <v>575</v>
      </c>
      <c r="L70" s="232"/>
      <c r="M70" s="242">
        <f>(L68*0.05)</f>
        <v>10</v>
      </c>
      <c r="N70" s="234">
        <v>1448.24</v>
      </c>
      <c r="O70" s="234">
        <f t="shared" si="12"/>
        <v>14482.4</v>
      </c>
      <c r="P70" s="270">
        <f>SUM(P68:P69)</f>
        <v>79352.350000000006</v>
      </c>
      <c r="Q70" s="232"/>
      <c r="R70" s="242">
        <f>(Q68*0.05)</f>
        <v>0</v>
      </c>
      <c r="S70" s="232"/>
      <c r="T70" s="242">
        <f>(S68*0.05)</f>
        <v>0</v>
      </c>
      <c r="U70" s="287">
        <f>(N70*T70)</f>
        <v>0</v>
      </c>
      <c r="V70" s="281">
        <f>((M70*V68)/L68)*1000</f>
        <v>50</v>
      </c>
      <c r="W70" s="426">
        <f>(H70/10000)</f>
        <v>1.0000000000000002</v>
      </c>
      <c r="X70" s="241"/>
      <c r="Y70" s="238"/>
      <c r="Z70" s="238"/>
      <c r="AA70" s="238"/>
      <c r="AB70" s="238"/>
      <c r="AC70" s="238"/>
      <c r="AD70" s="238"/>
      <c r="AE70" s="238"/>
      <c r="AF70" s="238"/>
      <c r="AG70" s="238"/>
      <c r="AH70" s="238"/>
      <c r="AI70" s="238"/>
      <c r="AJ70" s="238"/>
    </row>
    <row r="71" spans="1:36" s="213" customFormat="1" ht="18" customHeight="1" outlineLevel="1">
      <c r="A71" s="419">
        <f>(H71/10000)/100</f>
        <v>1.0249999999999999E-2</v>
      </c>
      <c r="B71" s="266" t="s">
        <v>408</v>
      </c>
      <c r="C71" s="423" t="e">
        <f>(D71/D$73)</f>
        <v>#DIV/0!</v>
      </c>
      <c r="D71" s="203"/>
      <c r="E71" s="427">
        <f>(H71/1000000)</f>
        <v>1.025E-2</v>
      </c>
      <c r="F71" s="203"/>
      <c r="G71" s="267">
        <f>(H71*H68)</f>
        <v>41</v>
      </c>
      <c r="H71" s="418">
        <f>(I71*0.164)*1000000</f>
        <v>10250</v>
      </c>
      <c r="I71" s="250">
        <f>(M71/L68)</f>
        <v>6.25E-2</v>
      </c>
      <c r="J71" s="415">
        <v>1.3</v>
      </c>
      <c r="K71" s="672" t="s">
        <v>577</v>
      </c>
      <c r="L71" s="232"/>
      <c r="M71" s="242">
        <f>(L68*0.0625)</f>
        <v>12.5</v>
      </c>
      <c r="N71" s="429">
        <v>1454.79</v>
      </c>
      <c r="O71" s="234">
        <f t="shared" si="12"/>
        <v>18184.875</v>
      </c>
      <c r="P71" s="243">
        <f>SUM(P70)/L68</f>
        <v>396.76175000000001</v>
      </c>
      <c r="Q71" s="232"/>
      <c r="R71" s="242">
        <f>(Q68*0.0625)</f>
        <v>0</v>
      </c>
      <c r="S71" s="232"/>
      <c r="T71" s="242">
        <f>(S68*0.0625)</f>
        <v>0</v>
      </c>
      <c r="U71" s="287">
        <f>(N71*T71)</f>
        <v>0</v>
      </c>
      <c r="V71" s="281">
        <f>((M71*V68)/L68)*1000</f>
        <v>62.5</v>
      </c>
      <c r="W71" s="426">
        <f>(H71/10000)</f>
        <v>1.0249999999999999</v>
      </c>
      <c r="X71" s="260"/>
      <c r="Y71" s="241"/>
      <c r="Z71" s="241"/>
      <c r="AA71" s="241"/>
      <c r="AB71" s="241"/>
      <c r="AC71" s="241"/>
      <c r="AD71" s="241"/>
      <c r="AE71" s="241"/>
      <c r="AF71" s="241"/>
      <c r="AG71" s="241"/>
      <c r="AH71" s="241"/>
      <c r="AI71" s="241"/>
      <c r="AJ71" s="241"/>
    </row>
    <row r="72" spans="1:36" s="213" customFormat="1" ht="18" customHeight="1" outlineLevel="1">
      <c r="A72" s="302">
        <f>(H72/10000)/100</f>
        <v>0.03</v>
      </c>
      <c r="B72" s="266" t="s">
        <v>409</v>
      </c>
      <c r="C72" s="423" t="e">
        <f>(D72/D$73)</f>
        <v>#DIV/0!</v>
      </c>
      <c r="D72" s="203"/>
      <c r="E72" s="427">
        <f>(H72/1000000)</f>
        <v>0.03</v>
      </c>
      <c r="F72" s="203"/>
      <c r="G72" s="267">
        <f>(H72*H68)</f>
        <v>120</v>
      </c>
      <c r="H72" s="418">
        <f>(I72*0.2)*1000000</f>
        <v>30000</v>
      </c>
      <c r="I72" s="250">
        <f>(M72/L68)</f>
        <v>0.15</v>
      </c>
      <c r="J72" s="415">
        <v>1.4</v>
      </c>
      <c r="K72" s="672" t="s">
        <v>576</v>
      </c>
      <c r="L72" s="232"/>
      <c r="M72" s="242">
        <f>(L68*0.15)</f>
        <v>30</v>
      </c>
      <c r="N72" s="234">
        <v>1448.24</v>
      </c>
      <c r="O72" s="234">
        <f t="shared" si="12"/>
        <v>43447.199999999997</v>
      </c>
      <c r="P72" s="244">
        <f>(P73-P71)/P71</f>
        <v>0.26020212381863927</v>
      </c>
      <c r="Q72" s="232"/>
      <c r="R72" s="242">
        <f>(Q68*0.15)</f>
        <v>0</v>
      </c>
      <c r="S72" s="232"/>
      <c r="T72" s="242">
        <f>(S68*0.15)</f>
        <v>0</v>
      </c>
      <c r="U72" s="287">
        <f>(N72*T72)</f>
        <v>0</v>
      </c>
      <c r="V72" s="281">
        <f>((M72*V68)/L68)*1000</f>
        <v>150</v>
      </c>
      <c r="W72" s="426">
        <f>(H72/10000)</f>
        <v>3</v>
      </c>
      <c r="X72" s="238"/>
      <c r="Y72" s="260"/>
      <c r="Z72" s="260"/>
      <c r="AA72" s="260"/>
      <c r="AB72" s="260"/>
      <c r="AC72" s="260"/>
      <c r="AD72" s="260"/>
      <c r="AE72" s="260"/>
      <c r="AF72" s="260"/>
      <c r="AG72" s="260"/>
      <c r="AH72" s="260"/>
      <c r="AI72" s="260"/>
      <c r="AJ72" s="260"/>
    </row>
    <row r="73" spans="1:36" s="213" customFormat="1" ht="18" customHeight="1" outlineLevel="1">
      <c r="A73" s="302">
        <f>(E74/10000)/100</f>
        <v>1.5875E-2</v>
      </c>
      <c r="B73" s="266" t="s">
        <v>405</v>
      </c>
      <c r="C73" s="422" t="e">
        <f>SUM(C69:C72)</f>
        <v>#DIV/0!</v>
      </c>
      <c r="D73" s="266"/>
      <c r="E73" s="427">
        <f>(E74/1000000)</f>
        <v>1.5875E-2</v>
      </c>
      <c r="F73" s="203"/>
      <c r="G73" s="267">
        <f>(E74*H68)</f>
        <v>63.5</v>
      </c>
      <c r="I73" s="250">
        <f>(M73/L68)</f>
        <v>0.61250000000000004</v>
      </c>
      <c r="J73" s="415">
        <v>1.5</v>
      </c>
      <c r="K73" s="672" t="s">
        <v>204</v>
      </c>
      <c r="L73" s="232"/>
      <c r="M73" s="255">
        <f>L68-(M69+M70+M71+M72)</f>
        <v>122.5</v>
      </c>
      <c r="N73" s="234"/>
      <c r="O73" s="234">
        <f t="shared" si="12"/>
        <v>0</v>
      </c>
      <c r="P73" s="256">
        <v>500</v>
      </c>
      <c r="Q73" s="232"/>
      <c r="R73" s="255">
        <f>Q68-(R69+R70+R71+R72)</f>
        <v>0</v>
      </c>
      <c r="S73" s="232"/>
      <c r="T73" s="255">
        <f>S68-(T69+T70+T71+T72)</f>
        <v>0</v>
      </c>
      <c r="U73" s="287">
        <f>(N73*T73)</f>
        <v>0</v>
      </c>
      <c r="V73" s="282">
        <f>((M73*V68)/L68)*1000</f>
        <v>612.5</v>
      </c>
      <c r="W73" s="262"/>
      <c r="X73" s="262"/>
      <c r="Y73" s="262"/>
      <c r="Z73" s="262"/>
      <c r="AA73" s="262"/>
      <c r="AB73" s="262"/>
      <c r="AC73" s="262"/>
      <c r="AD73" s="262"/>
      <c r="AE73" s="262"/>
      <c r="AF73" s="262"/>
      <c r="AG73" s="262"/>
      <c r="AH73" s="262"/>
      <c r="AI73" s="262"/>
      <c r="AJ73" s="262"/>
    </row>
    <row r="74" spans="1:36" s="213" customFormat="1" ht="18" customHeight="1" outlineLevel="1">
      <c r="C74" s="424">
        <f>(SUM(M69:M72)/L22)*1000</f>
        <v>387.5</v>
      </c>
      <c r="E74" s="246">
        <f>(F74*0.127)*1000000</f>
        <v>15875</v>
      </c>
      <c r="F74" s="230">
        <f>(M69/L68)</f>
        <v>0.125</v>
      </c>
      <c r="G74" s="203"/>
      <c r="H74" s="203"/>
      <c r="I74" s="428">
        <f>SUM(I69:I73)</f>
        <v>1</v>
      </c>
      <c r="J74" s="415">
        <v>1.6</v>
      </c>
      <c r="K74" s="672" t="s">
        <v>249</v>
      </c>
      <c r="L74" s="232"/>
      <c r="M74" s="251">
        <f>(L68/20)</f>
        <v>10</v>
      </c>
      <c r="N74" s="234">
        <f>('MP E-S Ene 24'!M10)</f>
        <v>140</v>
      </c>
      <c r="O74" s="234">
        <f t="shared" si="12"/>
        <v>1400</v>
      </c>
      <c r="P74" s="275"/>
      <c r="Q74" s="232"/>
      <c r="R74" s="251">
        <f>(Q68/20)</f>
        <v>0</v>
      </c>
      <c r="S74" s="232"/>
      <c r="T74" s="251">
        <f>(S68/20)</f>
        <v>0</v>
      </c>
      <c r="U74" s="280"/>
      <c r="V74" s="273"/>
      <c r="W74" s="276"/>
      <c r="X74" s="276"/>
      <c r="Y74" s="253"/>
      <c r="Z74" s="253"/>
      <c r="AA74" s="253"/>
      <c r="AB74" s="253"/>
      <c r="AC74" s="253"/>
      <c r="AD74" s="253"/>
      <c r="AE74" s="253"/>
      <c r="AF74" s="253"/>
      <c r="AG74" s="253"/>
      <c r="AH74" s="253"/>
      <c r="AI74" s="253"/>
      <c r="AJ74" s="253"/>
    </row>
    <row r="75" spans="1:36" s="213" customFormat="1" ht="18" customHeight="1">
      <c r="B75" s="263" t="s">
        <v>58</v>
      </c>
      <c r="C75" s="439" t="s">
        <v>567</v>
      </c>
      <c r="E75" s="213" t="s">
        <v>567</v>
      </c>
      <c r="F75" s="213" t="s">
        <v>568</v>
      </c>
      <c r="G75" s="440" t="s">
        <v>263</v>
      </c>
      <c r="H75" s="441">
        <f>30/1000</f>
        <v>0.03</v>
      </c>
      <c r="I75" s="203" t="s">
        <v>250</v>
      </c>
      <c r="J75" s="451" t="s">
        <v>264</v>
      </c>
      <c r="K75" s="458" t="s">
        <v>644</v>
      </c>
      <c r="L75" s="453">
        <v>1000</v>
      </c>
      <c r="M75" s="454" t="s">
        <v>242</v>
      </c>
      <c r="N75" s="455"/>
      <c r="O75" s="220"/>
      <c r="P75" s="221">
        <f>SUM(O76:O83)</f>
        <v>43483.767999999996</v>
      </c>
      <c r="Q75" s="222"/>
      <c r="R75" s="223" t="s">
        <v>242</v>
      </c>
      <c r="S75" s="413"/>
      <c r="T75" s="225"/>
      <c r="U75" s="265">
        <f>(P75/L75)</f>
        <v>43.483767999999998</v>
      </c>
      <c r="V75" s="227">
        <v>1</v>
      </c>
      <c r="W75" s="238"/>
      <c r="X75" s="238"/>
      <c r="Y75" s="228"/>
      <c r="Z75" s="228"/>
      <c r="AA75" s="228"/>
      <c r="AB75" s="228"/>
      <c r="AC75" s="228"/>
      <c r="AD75" s="228"/>
      <c r="AE75" s="228"/>
      <c r="AF75" s="228"/>
      <c r="AG75" s="228"/>
      <c r="AH75" s="228"/>
      <c r="AI75" s="228"/>
      <c r="AJ75" s="228"/>
    </row>
    <row r="76" spans="1:36" s="213" customFormat="1" ht="18" customHeight="1" outlineLevel="1">
      <c r="B76" s="266" t="s">
        <v>256</v>
      </c>
      <c r="C76" s="450">
        <f>(D76/D$81)</f>
        <v>0.47169811320754718</v>
      </c>
      <c r="D76" s="213">
        <f>(M76*1)</f>
        <v>500</v>
      </c>
      <c r="E76" s="442">
        <f>(F76/F82)</f>
        <v>0.5</v>
      </c>
      <c r="F76" s="213">
        <f>(M76*1)</f>
        <v>500</v>
      </c>
      <c r="G76" s="443">
        <f>(H76*H75)</f>
        <v>15000</v>
      </c>
      <c r="H76" s="444">
        <f>((M76)/L75)*1000000</f>
        <v>500000</v>
      </c>
      <c r="I76" s="230">
        <f>(M76/L75)</f>
        <v>0.5</v>
      </c>
      <c r="J76" s="415" t="s">
        <v>243</v>
      </c>
      <c r="K76" s="672" t="s">
        <v>218</v>
      </c>
      <c r="L76" s="232"/>
      <c r="M76" s="255">
        <f>(L75*0.5)</f>
        <v>500</v>
      </c>
      <c r="N76" s="268">
        <f>'MP E-S Ene 24'!M23</f>
        <v>5</v>
      </c>
      <c r="O76" s="234">
        <f t="shared" ref="O76:O82" si="13">(M76*N76)</f>
        <v>2500</v>
      </c>
      <c r="P76" s="416">
        <f>((18.5/2)*L75)</f>
        <v>9250</v>
      </c>
      <c r="Q76" s="269"/>
      <c r="R76" s="255">
        <f>(Q75*0.5)</f>
        <v>0</v>
      </c>
      <c r="S76" s="269"/>
      <c r="T76" s="255">
        <f>(S75*0.5)</f>
        <v>0</v>
      </c>
      <c r="U76" s="236"/>
      <c r="V76" s="249">
        <f>((M76*V75)/L75)*1000</f>
        <v>500</v>
      </c>
      <c r="W76" s="238"/>
      <c r="X76" s="238"/>
      <c r="Y76" s="238"/>
      <c r="Z76" s="238"/>
      <c r="AA76" s="238"/>
      <c r="AB76" s="238"/>
      <c r="AC76" s="238"/>
      <c r="AD76" s="238"/>
      <c r="AE76" s="238"/>
      <c r="AF76" s="238"/>
      <c r="AG76" s="238"/>
      <c r="AH76" s="238"/>
      <c r="AI76" s="238"/>
      <c r="AJ76" s="238"/>
    </row>
    <row r="77" spans="1:36" s="213" customFormat="1" ht="18" customHeight="1" outlineLevel="1">
      <c r="B77" s="266" t="s">
        <v>257</v>
      </c>
      <c r="C77" s="450">
        <f>(D77/D$81)</f>
        <v>2.358490566037736E-2</v>
      </c>
      <c r="D77" s="213">
        <f>(M77*1)</f>
        <v>25</v>
      </c>
      <c r="E77" s="442">
        <f>(F77/F82)</f>
        <v>2.5000000000000001E-2</v>
      </c>
      <c r="F77" s="213">
        <f>(M77*1)</f>
        <v>25</v>
      </c>
      <c r="G77" s="443">
        <f>(H77*H75)</f>
        <v>750</v>
      </c>
      <c r="H77" s="444">
        <f>(M77/L75)*1000000</f>
        <v>25000</v>
      </c>
      <c r="I77" s="230">
        <f>(M77/L75)</f>
        <v>2.5000000000000001E-2</v>
      </c>
      <c r="J77" s="415" t="s">
        <v>244</v>
      </c>
      <c r="K77" s="672" t="s">
        <v>208</v>
      </c>
      <c r="L77" s="232"/>
      <c r="M77" s="242">
        <f>(L75*0.025)</f>
        <v>25</v>
      </c>
      <c r="N77" s="234">
        <f>('MP E-S Ene 24'!M8)</f>
        <v>237.8</v>
      </c>
      <c r="O77" s="234">
        <f t="shared" si="13"/>
        <v>5945</v>
      </c>
      <c r="P77" s="417">
        <f>SUM(P75:P76)</f>
        <v>52733.767999999996</v>
      </c>
      <c r="Q77" s="232"/>
      <c r="R77" s="242">
        <f>(Q75*0.025)</f>
        <v>0</v>
      </c>
      <c r="S77" s="232"/>
      <c r="T77" s="242">
        <f>(S75*0.025)</f>
        <v>0</v>
      </c>
      <c r="U77" s="236"/>
      <c r="V77" s="237">
        <f>((M77*V75)/L75)*1000</f>
        <v>25</v>
      </c>
      <c r="W77" s="241"/>
      <c r="X77" s="241"/>
      <c r="Y77" s="238"/>
      <c r="Z77" s="238"/>
      <c r="AA77" s="238"/>
      <c r="AB77" s="238"/>
      <c r="AC77" s="238"/>
      <c r="AD77" s="238"/>
      <c r="AE77" s="238"/>
      <c r="AF77" s="238"/>
      <c r="AG77" s="238"/>
      <c r="AH77" s="238"/>
      <c r="AI77" s="238"/>
      <c r="AJ77" s="238"/>
    </row>
    <row r="78" spans="1:36" s="213" customFormat="1" ht="18" customHeight="1" outlineLevel="1">
      <c r="B78" s="266" t="s">
        <v>258</v>
      </c>
      <c r="C78" s="450">
        <f>(D78/D$81)</f>
        <v>9.4339622641509441E-2</v>
      </c>
      <c r="D78" s="213">
        <f>(M78*1)</f>
        <v>100</v>
      </c>
      <c r="E78" s="442">
        <f>(F78/F82)</f>
        <v>0.1</v>
      </c>
      <c r="F78" s="213">
        <f>(M78*1)</f>
        <v>100</v>
      </c>
      <c r="G78" s="443">
        <f>(H78*H75)</f>
        <v>869.99999999999989</v>
      </c>
      <c r="H78" s="444">
        <f>((M78/L75)*0.29)*1000000</f>
        <v>28999.999999999996</v>
      </c>
      <c r="I78" s="230">
        <f>(M78/L75)</f>
        <v>0.1</v>
      </c>
      <c r="J78" s="415" t="s">
        <v>245</v>
      </c>
      <c r="K78" s="672" t="s">
        <v>566</v>
      </c>
      <c r="L78" s="232"/>
      <c r="M78" s="233">
        <f>(L75*0.1)</f>
        <v>100</v>
      </c>
      <c r="N78" s="234">
        <f>('MP E-S Ene 24'!M28)</f>
        <v>10.8</v>
      </c>
      <c r="O78" s="234">
        <f t="shared" si="13"/>
        <v>1080</v>
      </c>
      <c r="P78" s="243">
        <f>ROUNDUP((SUM(P77)/L75),1)</f>
        <v>52.800000000000004</v>
      </c>
      <c r="Q78" s="232"/>
      <c r="R78" s="233">
        <f>(Q75*0.1)</f>
        <v>0</v>
      </c>
      <c r="S78" s="232"/>
      <c r="T78" s="233">
        <f>(S75*0.1)</f>
        <v>0</v>
      </c>
      <c r="U78" s="240" t="s">
        <v>565</v>
      </c>
      <c r="V78" s="237">
        <f>((M78*V75)/L75)*1000</f>
        <v>100</v>
      </c>
      <c r="W78" s="260"/>
      <c r="X78" s="260"/>
      <c r="Y78" s="241"/>
      <c r="Z78" s="241"/>
      <c r="AA78" s="241"/>
      <c r="AB78" s="241"/>
      <c r="AC78" s="241"/>
      <c r="AD78" s="241"/>
      <c r="AE78" s="241"/>
      <c r="AF78" s="241"/>
      <c r="AG78" s="241"/>
      <c r="AH78" s="241"/>
      <c r="AI78" s="241"/>
      <c r="AJ78" s="241"/>
    </row>
    <row r="79" spans="1:36" s="213" customFormat="1" ht="18" customHeight="1" outlineLevel="1">
      <c r="B79" s="278" t="s">
        <v>259</v>
      </c>
      <c r="C79" s="450">
        <f>(D79/D$81)</f>
        <v>0.35377358490566035</v>
      </c>
      <c r="D79" s="213">
        <f>(M79*1)</f>
        <v>375</v>
      </c>
      <c r="E79" s="442">
        <f>(F79/F82)</f>
        <v>0.315</v>
      </c>
      <c r="F79" s="446">
        <f>(M79)-60</f>
        <v>315</v>
      </c>
      <c r="G79" s="443">
        <f>(H79*H75)</f>
        <v>11250</v>
      </c>
      <c r="H79" s="444">
        <f>(M79/L75)*1000000</f>
        <v>375000</v>
      </c>
      <c r="I79" s="230">
        <f>(M79/L75)</f>
        <v>0.375</v>
      </c>
      <c r="J79" s="415" t="s">
        <v>246</v>
      </c>
      <c r="K79" s="672" t="s">
        <v>217</v>
      </c>
      <c r="L79" s="232"/>
      <c r="M79" s="255">
        <f>(L75*0.375)</f>
        <v>375</v>
      </c>
      <c r="N79" s="268">
        <f>('MP E-S Ene 24'!M22)</f>
        <v>37</v>
      </c>
      <c r="O79" s="234">
        <f t="shared" si="13"/>
        <v>13875</v>
      </c>
      <c r="P79" s="244">
        <f>(P80-P78)/P78</f>
        <v>-0.24242424242424249</v>
      </c>
      <c r="Q79" s="232"/>
      <c r="R79" s="255">
        <f>(Q75*0.375)</f>
        <v>0</v>
      </c>
      <c r="S79" s="232"/>
      <c r="T79" s="255">
        <f>(S75*0.375)</f>
        <v>0</v>
      </c>
      <c r="U79" s="271" t="s">
        <v>260</v>
      </c>
      <c r="V79" s="249">
        <f>((M79*V75)/L75)*1000</f>
        <v>375</v>
      </c>
      <c r="W79" s="238"/>
      <c r="X79" s="238"/>
      <c r="Y79" s="260"/>
      <c r="Z79" s="260"/>
      <c r="AA79" s="260"/>
      <c r="AB79" s="260"/>
      <c r="AC79" s="260"/>
      <c r="AD79" s="260"/>
      <c r="AE79" s="260"/>
      <c r="AF79" s="260"/>
      <c r="AG79" s="260"/>
      <c r="AH79" s="260"/>
      <c r="AI79" s="260"/>
      <c r="AJ79" s="260"/>
    </row>
    <row r="80" spans="1:36" s="213" customFormat="1" ht="18" customHeight="1" outlineLevel="1">
      <c r="B80" s="266" t="s">
        <v>261</v>
      </c>
      <c r="C80" s="450">
        <f>(D80/D$81)</f>
        <v>5.6603773584905662E-2</v>
      </c>
      <c r="D80" s="213">
        <f>(M80*1)</f>
        <v>60</v>
      </c>
      <c r="E80" s="442">
        <f>(F80/F82)</f>
        <v>0.06</v>
      </c>
      <c r="F80" s="213">
        <f>(M80*1)</f>
        <v>60</v>
      </c>
      <c r="G80" s="443">
        <f>(H80*H75)</f>
        <v>1350</v>
      </c>
      <c r="H80" s="444">
        <f>(I80*0.75)*1000000</f>
        <v>45000</v>
      </c>
      <c r="I80" s="230">
        <f>(M80/L75)</f>
        <v>0.06</v>
      </c>
      <c r="J80" s="415" t="s">
        <v>247</v>
      </c>
      <c r="K80" s="672" t="s">
        <v>215</v>
      </c>
      <c r="L80" s="232"/>
      <c r="M80" s="242">
        <f>(L75*0.06)</f>
        <v>60</v>
      </c>
      <c r="N80" s="268">
        <f>('MP E-S Ene 24'!M17)</f>
        <v>28.062800000000003</v>
      </c>
      <c r="O80" s="234">
        <f t="shared" si="13"/>
        <v>1683.7680000000003</v>
      </c>
      <c r="P80" s="256">
        <v>40</v>
      </c>
      <c r="Q80" s="232"/>
      <c r="R80" s="242">
        <f>(Q75*0.06)</f>
        <v>0</v>
      </c>
      <c r="S80" s="232"/>
      <c r="T80" s="242">
        <f>(S75*0.06)</f>
        <v>0</v>
      </c>
      <c r="U80" s="272">
        <f>((P80*60)/2000)*1</f>
        <v>1.2</v>
      </c>
      <c r="V80" s="237">
        <f>((M80*V75)/L75)*1000</f>
        <v>60</v>
      </c>
      <c r="W80" s="238"/>
      <c r="X80" s="238"/>
      <c r="Y80" s="238"/>
      <c r="Z80" s="238"/>
      <c r="AA80" s="238"/>
      <c r="AB80" s="238"/>
      <c r="AC80" s="238"/>
      <c r="AD80" s="238"/>
      <c r="AE80" s="238"/>
      <c r="AF80" s="238"/>
      <c r="AG80" s="238"/>
      <c r="AH80" s="238"/>
      <c r="AI80" s="238"/>
      <c r="AJ80" s="238"/>
    </row>
    <row r="81" spans="2:36" s="213" customFormat="1" ht="18" customHeight="1" outlineLevel="1">
      <c r="B81" s="266" t="s">
        <v>265</v>
      </c>
      <c r="C81" s="450">
        <f>SUM(C76:C80)</f>
        <v>1</v>
      </c>
      <c r="D81" s="213">
        <f>SUM(D76:D80)</f>
        <v>1060</v>
      </c>
      <c r="E81" s="442"/>
      <c r="F81" s="446"/>
      <c r="G81" s="443">
        <f>(H81*H75)</f>
        <v>1200</v>
      </c>
      <c r="H81" s="444">
        <f>(M81/L75)*1000000</f>
        <v>40000</v>
      </c>
      <c r="I81" s="230">
        <f>(M81/L75)</f>
        <v>0.04</v>
      </c>
      <c r="J81" s="415" t="s">
        <v>248</v>
      </c>
      <c r="K81" s="673" t="s">
        <v>216</v>
      </c>
      <c r="L81" s="232"/>
      <c r="M81" s="255">
        <f>(L75*0.04)</f>
        <v>40</v>
      </c>
      <c r="N81" s="268">
        <f>('MP E-S Ene 24'!M21)</f>
        <v>285</v>
      </c>
      <c r="O81" s="234">
        <f t="shared" si="13"/>
        <v>11400</v>
      </c>
      <c r="P81" s="244"/>
      <c r="Q81" s="232"/>
      <c r="R81" s="255">
        <f>(Q75*0.04)</f>
        <v>0</v>
      </c>
      <c r="S81" s="232"/>
      <c r="T81" s="255">
        <f>(S75*0.04)</f>
        <v>0</v>
      </c>
      <c r="U81" s="240" t="s">
        <v>564</v>
      </c>
      <c r="V81" s="249">
        <f>((M81*V75)/L75)*1000</f>
        <v>40</v>
      </c>
      <c r="W81" s="238"/>
      <c r="X81" s="238"/>
      <c r="Y81" s="260"/>
      <c r="Z81" s="260"/>
      <c r="AA81" s="260"/>
      <c r="AB81" s="260"/>
      <c r="AC81" s="260"/>
      <c r="AD81" s="260"/>
      <c r="AE81" s="260"/>
      <c r="AF81" s="260"/>
      <c r="AG81" s="260"/>
      <c r="AH81" s="260"/>
      <c r="AI81" s="260"/>
      <c r="AJ81" s="260"/>
    </row>
    <row r="82" spans="2:36" s="213" customFormat="1" ht="18" customHeight="1" outlineLevel="1">
      <c r="B82" s="203"/>
      <c r="E82" s="448">
        <f>SUM(E76:E81)</f>
        <v>1</v>
      </c>
      <c r="F82" s="213">
        <f>SUM(F76:F81)</f>
        <v>1000</v>
      </c>
      <c r="I82" s="230">
        <f>(M82/L75)</f>
        <v>1.2500000000000001E-2</v>
      </c>
      <c r="J82" s="415" t="s">
        <v>251</v>
      </c>
      <c r="K82" s="672" t="s">
        <v>204</v>
      </c>
      <c r="L82" s="232"/>
      <c r="M82" s="247">
        <f>L75-((M76+M79+(M77/2)+(M78/2)+(M80/2)+(M81/2)))</f>
        <v>12.5</v>
      </c>
      <c r="N82" s="234"/>
      <c r="O82" s="234">
        <f t="shared" si="13"/>
        <v>0</v>
      </c>
      <c r="P82" s="232"/>
      <c r="Q82" s="232"/>
      <c r="R82" s="247">
        <f>Q75-((R76+R79+(R77/2)+(R78/2)+(R80/2)+(R81/2)))</f>
        <v>0</v>
      </c>
      <c r="S82" s="232"/>
      <c r="T82" s="247">
        <f>S75-((T76+T79+(T77/2)+(T78/2)+(T80/2)+(T81/2)))</f>
        <v>0</v>
      </c>
      <c r="U82" s="271" t="s">
        <v>262</v>
      </c>
      <c r="W82" s="262"/>
      <c r="X82" s="262"/>
      <c r="Y82" s="262"/>
      <c r="Z82" s="262"/>
      <c r="AA82" s="262"/>
      <c r="AB82" s="262"/>
      <c r="AC82" s="262"/>
      <c r="AD82" s="262"/>
      <c r="AE82" s="262"/>
      <c r="AF82" s="262"/>
      <c r="AG82" s="262"/>
      <c r="AH82" s="262"/>
      <c r="AI82" s="262"/>
      <c r="AJ82" s="262"/>
    </row>
    <row r="83" spans="2:36" s="213" customFormat="1" ht="18" customHeight="1" outlineLevel="1">
      <c r="B83" s="203"/>
      <c r="C83" s="447">
        <f>((M77+M78+M80)/L75)*1000</f>
        <v>185</v>
      </c>
      <c r="G83" s="438"/>
      <c r="I83" s="250">
        <f>SUM(I76:I82)</f>
        <v>1.1125</v>
      </c>
      <c r="J83" s="415" t="s">
        <v>252</v>
      </c>
      <c r="K83" s="672" t="s">
        <v>249</v>
      </c>
      <c r="L83" s="232"/>
      <c r="M83" s="251">
        <f>(L75/20)</f>
        <v>50</v>
      </c>
      <c r="N83" s="234">
        <f>('MP E-S Ene 24'!M10)</f>
        <v>140</v>
      </c>
      <c r="O83" s="234">
        <f>(M83*N83)</f>
        <v>7000</v>
      </c>
      <c r="P83" s="275"/>
      <c r="Q83" s="232"/>
      <c r="R83" s="251">
        <f>(Q75/20)</f>
        <v>0</v>
      </c>
      <c r="S83" s="232"/>
      <c r="T83" s="251">
        <f>(S75/20)</f>
        <v>0</v>
      </c>
      <c r="U83" s="272">
        <f>((P80*60)/2000)*0.5</f>
        <v>0.6</v>
      </c>
      <c r="W83" s="203"/>
      <c r="X83" s="203"/>
      <c r="Y83" s="253"/>
      <c r="Z83" s="253"/>
      <c r="AA83" s="253"/>
      <c r="AB83" s="253"/>
      <c r="AC83" s="253"/>
      <c r="AD83" s="253"/>
      <c r="AE83" s="253"/>
      <c r="AF83" s="253"/>
      <c r="AG83" s="253"/>
      <c r="AH83" s="253"/>
      <c r="AI83" s="253"/>
      <c r="AJ83" s="253"/>
    </row>
    <row r="84" spans="2:36" s="213" customFormat="1" ht="18" customHeight="1">
      <c r="B84" s="203"/>
      <c r="D84" s="203"/>
      <c r="E84" s="203"/>
      <c r="F84" s="203"/>
      <c r="G84" s="203" t="s">
        <v>240</v>
      </c>
      <c r="H84" s="203">
        <f>1/500</f>
        <v>2E-3</v>
      </c>
      <c r="I84" s="219" t="s">
        <v>250</v>
      </c>
      <c r="J84" s="277"/>
      <c r="K84" s="669" t="s">
        <v>508</v>
      </c>
      <c r="L84" s="413">
        <v>200</v>
      </c>
      <c r="M84" s="414" t="s">
        <v>242</v>
      </c>
      <c r="N84" s="670"/>
      <c r="O84" s="220"/>
      <c r="P84" s="221">
        <f>SUM(O85:O89)</f>
        <v>56628.97898040904</v>
      </c>
      <c r="Q84" s="222"/>
      <c r="R84" s="223" t="s">
        <v>242</v>
      </c>
      <c r="S84" s="254"/>
      <c r="T84" s="225"/>
      <c r="U84" s="226">
        <f>(P84/L84)</f>
        <v>283.14489490204522</v>
      </c>
      <c r="V84" s="227">
        <v>1</v>
      </c>
      <c r="W84" s="228"/>
      <c r="X84" s="228"/>
      <c r="Y84" s="228"/>
      <c r="Z84" s="228"/>
      <c r="AA84" s="228"/>
      <c r="AB84" s="228"/>
      <c r="AC84" s="228"/>
      <c r="AD84" s="228"/>
      <c r="AE84" s="228"/>
      <c r="AF84" s="228"/>
      <c r="AG84" s="228"/>
      <c r="AH84" s="228"/>
      <c r="AI84" s="228"/>
      <c r="AJ84" s="228"/>
    </row>
    <row r="85" spans="2:36" s="213" customFormat="1" ht="18" customHeight="1" outlineLevel="1">
      <c r="B85" s="203"/>
      <c r="C85" s="203"/>
      <c r="D85" s="203"/>
      <c r="E85" s="203"/>
      <c r="F85" s="203"/>
      <c r="G85" s="229">
        <f>H85*H84</f>
        <v>330</v>
      </c>
      <c r="H85" s="229">
        <f>(M85/L84)*1000000</f>
        <v>165000</v>
      </c>
      <c r="I85" s="250">
        <f>(M85/L84)</f>
        <v>0.16500000000000001</v>
      </c>
      <c r="J85" s="231">
        <v>1.1000000000000001</v>
      </c>
      <c r="K85" s="672" t="s">
        <v>221</v>
      </c>
      <c r="L85" s="232"/>
      <c r="M85" s="255">
        <f>(L84*0.165)</f>
        <v>33</v>
      </c>
      <c r="N85" s="234">
        <f>('MP E-S Ene 24'!M29)</f>
        <v>706.13562970936482</v>
      </c>
      <c r="O85" s="234">
        <f>(M85*N85)</f>
        <v>23302.47578040904</v>
      </c>
      <c r="P85" s="235">
        <f>(18.5*L84)</f>
        <v>3700</v>
      </c>
      <c r="Q85" s="232"/>
      <c r="R85" s="255">
        <f>(Q84*0.165)</f>
        <v>0</v>
      </c>
      <c r="S85" s="232"/>
      <c r="T85" s="255">
        <f>(S84*0.165)</f>
        <v>0</v>
      </c>
      <c r="U85" s="236"/>
      <c r="V85" s="249">
        <f>((M85*V84)/L84)*1000</f>
        <v>165</v>
      </c>
      <c r="W85" s="238"/>
      <c r="X85" s="238"/>
      <c r="Y85" s="238"/>
      <c r="Z85" s="238"/>
      <c r="AA85" s="238"/>
      <c r="AB85" s="238"/>
      <c r="AC85" s="238"/>
      <c r="AD85" s="238"/>
      <c r="AE85" s="238"/>
      <c r="AF85" s="238"/>
      <c r="AG85" s="238"/>
      <c r="AH85" s="238"/>
      <c r="AI85" s="238"/>
      <c r="AJ85" s="238"/>
    </row>
    <row r="86" spans="2:36" s="213" customFormat="1" ht="18" customHeight="1" outlineLevel="1">
      <c r="B86" s="203"/>
      <c r="C86" s="203"/>
      <c r="D86" s="203"/>
      <c r="E86" s="203"/>
      <c r="F86" s="203"/>
      <c r="G86" s="229">
        <f>H86*H84</f>
        <v>330</v>
      </c>
      <c r="H86" s="229">
        <f>(M86/L84)*1000000</f>
        <v>165000</v>
      </c>
      <c r="I86" s="250">
        <f>(M86/L84)</f>
        <v>0.16500000000000001</v>
      </c>
      <c r="J86" s="231">
        <v>1.2</v>
      </c>
      <c r="K86" s="672" t="s">
        <v>507</v>
      </c>
      <c r="L86" s="232"/>
      <c r="M86" s="255">
        <f>(L84*0.165)</f>
        <v>33</v>
      </c>
      <c r="N86" s="234">
        <f>('MP E-S Ene 24'!M38)</f>
        <v>13.5304</v>
      </c>
      <c r="O86" s="234">
        <f>(M86*N86)</f>
        <v>446.50319999999999</v>
      </c>
      <c r="P86" s="270">
        <f>SUM(P84:P85)</f>
        <v>60328.97898040904</v>
      </c>
      <c r="Q86" s="232"/>
      <c r="R86" s="255">
        <f>(Q84*0.165)</f>
        <v>0</v>
      </c>
      <c r="S86" s="232"/>
      <c r="T86" s="255">
        <f>(S84*0.165)</f>
        <v>0</v>
      </c>
      <c r="U86" s="236"/>
      <c r="V86" s="249">
        <f>((M86*V84)/L84)*1000</f>
        <v>165</v>
      </c>
      <c r="W86" s="238"/>
      <c r="X86" s="238"/>
      <c r="Y86" s="238"/>
      <c r="Z86" s="238"/>
      <c r="AA86" s="238"/>
      <c r="AB86" s="238"/>
      <c r="AC86" s="238"/>
      <c r="AD86" s="238"/>
      <c r="AE86" s="238"/>
      <c r="AF86" s="238"/>
      <c r="AG86" s="238"/>
      <c r="AH86" s="238"/>
      <c r="AI86" s="238"/>
      <c r="AJ86" s="238"/>
    </row>
    <row r="87" spans="2:36" s="213" customFormat="1" ht="18" customHeight="1" outlineLevel="1">
      <c r="B87" s="203"/>
      <c r="C87" s="203"/>
      <c r="D87" s="203"/>
      <c r="E87" s="203"/>
      <c r="F87" s="203"/>
      <c r="G87" s="229">
        <f>H87*H84</f>
        <v>500</v>
      </c>
      <c r="H87" s="229">
        <f>(M87/L84)*1000000</f>
        <v>250000</v>
      </c>
      <c r="I87" s="250">
        <f>(M87/L84)</f>
        <v>0.25</v>
      </c>
      <c r="J87" s="231">
        <v>1.3</v>
      </c>
      <c r="K87" s="672" t="s">
        <v>572</v>
      </c>
      <c r="L87" s="232"/>
      <c r="M87" s="255">
        <f>(L84*0.25)</f>
        <v>50</v>
      </c>
      <c r="N87" s="234">
        <f>('MP E-S Ene 24'!M13)</f>
        <v>629.6</v>
      </c>
      <c r="O87" s="234">
        <f>(M87*N87)</f>
        <v>31480</v>
      </c>
      <c r="P87" s="243">
        <f>SUM(P86)/L84</f>
        <v>301.64489490204522</v>
      </c>
      <c r="Q87" s="232"/>
      <c r="R87" s="255">
        <f>(Q84*0.25)</f>
        <v>0</v>
      </c>
      <c r="S87" s="232"/>
      <c r="T87" s="255">
        <f>(S84*0.25)</f>
        <v>0</v>
      </c>
      <c r="U87" s="245"/>
      <c r="V87" s="249">
        <f>((M87*V84)/L84)*1000</f>
        <v>250</v>
      </c>
      <c r="W87" s="238"/>
      <c r="X87" s="238"/>
      <c r="Y87" s="238"/>
      <c r="Z87" s="238"/>
      <c r="AA87" s="238"/>
      <c r="AB87" s="238"/>
      <c r="AC87" s="238"/>
      <c r="AD87" s="238"/>
      <c r="AE87" s="238"/>
      <c r="AF87" s="238"/>
      <c r="AG87" s="238"/>
      <c r="AH87" s="238"/>
      <c r="AI87" s="238"/>
      <c r="AJ87" s="238"/>
    </row>
    <row r="88" spans="2:36" s="213" customFormat="1" ht="18" customHeight="1" outlineLevel="1">
      <c r="B88" s="203"/>
      <c r="C88" s="203"/>
      <c r="D88" s="203"/>
      <c r="E88" s="203"/>
      <c r="F88" s="203"/>
      <c r="G88" s="246"/>
      <c r="H88" s="229"/>
      <c r="I88" s="250">
        <f>(M88/L84)</f>
        <v>0.42</v>
      </c>
      <c r="J88" s="231">
        <v>1.4</v>
      </c>
      <c r="K88" s="672" t="s">
        <v>204</v>
      </c>
      <c r="L88" s="232"/>
      <c r="M88" s="255">
        <f>L84-SUM(M85:M87)</f>
        <v>84</v>
      </c>
      <c r="N88" s="234"/>
      <c r="O88" s="234">
        <f>(M88*N88)</f>
        <v>0</v>
      </c>
      <c r="P88" s="244">
        <f>(P89-P87)/P87</f>
        <v>-0.12148355739269222</v>
      </c>
      <c r="Q88" s="232"/>
      <c r="R88" s="255">
        <f>Q84-SUM(R85:R87)</f>
        <v>0</v>
      </c>
      <c r="S88" s="232"/>
      <c r="T88" s="255">
        <f>S84-SUM(T85:T87)</f>
        <v>0</v>
      </c>
      <c r="U88" s="236"/>
      <c r="V88" s="249">
        <f>((M88*V84)/L84)*1000</f>
        <v>420</v>
      </c>
      <c r="W88" s="238"/>
      <c r="X88" s="238"/>
      <c r="Y88" s="238"/>
      <c r="Z88" s="238"/>
      <c r="AA88" s="238"/>
      <c r="AB88" s="238"/>
      <c r="AC88" s="238"/>
      <c r="AD88" s="238"/>
      <c r="AE88" s="238"/>
      <c r="AF88" s="238"/>
      <c r="AG88" s="238"/>
      <c r="AH88" s="238"/>
      <c r="AI88" s="238"/>
      <c r="AJ88" s="238"/>
    </row>
    <row r="89" spans="2:36" s="213" customFormat="1" ht="18" customHeight="1" outlineLevel="1">
      <c r="B89" s="203"/>
      <c r="C89" s="203"/>
      <c r="D89" s="203"/>
      <c r="E89" s="203"/>
      <c r="F89" s="203"/>
      <c r="G89" s="246"/>
      <c r="H89" s="229"/>
      <c r="I89" s="250"/>
      <c r="J89" s="231">
        <v>1.5</v>
      </c>
      <c r="K89" s="672" t="s">
        <v>249</v>
      </c>
      <c r="L89" s="232"/>
      <c r="M89" s="251">
        <f>(L84/20)</f>
        <v>10</v>
      </c>
      <c r="N89" s="234">
        <f>('MP E-S Ene 24'!M10)</f>
        <v>140</v>
      </c>
      <c r="O89" s="234">
        <f>(M89*N89)</f>
        <v>1400</v>
      </c>
      <c r="P89" s="256">
        <v>265</v>
      </c>
      <c r="Q89" s="232"/>
      <c r="R89" s="251">
        <f>(Q84/20)</f>
        <v>0</v>
      </c>
      <c r="S89" s="232"/>
      <c r="T89" s="251">
        <f>(S84/20)</f>
        <v>0</v>
      </c>
      <c r="U89" s="257"/>
      <c r="V89" s="257"/>
      <c r="W89" s="258"/>
      <c r="X89" s="258"/>
      <c r="Y89" s="258"/>
      <c r="Z89" s="258"/>
      <c r="AA89" s="258"/>
      <c r="AB89" s="258"/>
      <c r="AC89" s="258"/>
      <c r="AD89" s="258"/>
      <c r="AE89" s="258"/>
      <c r="AF89" s="258"/>
      <c r="AG89" s="258"/>
      <c r="AH89" s="258"/>
      <c r="AI89" s="258"/>
      <c r="AJ89" s="258"/>
    </row>
    <row r="90" spans="2:36" s="213" customFormat="1" ht="18" customHeight="1">
      <c r="C90" s="203" t="s">
        <v>567</v>
      </c>
      <c r="D90" s="203"/>
      <c r="E90" s="203" t="s">
        <v>567</v>
      </c>
      <c r="F90" s="203" t="s">
        <v>568</v>
      </c>
      <c r="G90" s="203" t="s">
        <v>240</v>
      </c>
      <c r="H90" s="203">
        <f>1/500</f>
        <v>2E-3</v>
      </c>
      <c r="I90" s="219" t="s">
        <v>250</v>
      </c>
      <c r="J90" s="277"/>
      <c r="K90" s="669" t="s">
        <v>645</v>
      </c>
      <c r="L90" s="413">
        <v>200</v>
      </c>
      <c r="M90" s="414" t="s">
        <v>242</v>
      </c>
      <c r="N90" s="670"/>
      <c r="O90" s="220"/>
      <c r="P90" s="221">
        <f>SUM(O91:O98)</f>
        <v>35162.997619679394</v>
      </c>
      <c r="Q90" s="222"/>
      <c r="R90" s="223" t="s">
        <v>242</v>
      </c>
      <c r="S90" s="254"/>
      <c r="T90" s="225"/>
      <c r="U90" s="226">
        <f>(P90/L90)</f>
        <v>175.81498809839698</v>
      </c>
      <c r="V90" s="227">
        <v>1</v>
      </c>
      <c r="W90" s="228"/>
      <c r="X90" s="228"/>
      <c r="Y90" s="228"/>
      <c r="Z90" s="228"/>
      <c r="AA90" s="228"/>
      <c r="AB90" s="228"/>
      <c r="AC90" s="228"/>
      <c r="AD90" s="228"/>
      <c r="AE90" s="228"/>
      <c r="AF90" s="228"/>
      <c r="AG90" s="228"/>
      <c r="AH90" s="228"/>
      <c r="AI90" s="228"/>
      <c r="AJ90" s="228"/>
    </row>
    <row r="91" spans="2:36" s="213" customFormat="1" ht="18" customHeight="1" outlineLevel="1">
      <c r="C91" s="420">
        <f t="shared" ref="C91:C97" si="14">(D91/D$98)</f>
        <v>5.3797728768926925E-2</v>
      </c>
      <c r="D91" s="433">
        <f>(M91*1.046)</f>
        <v>10.46</v>
      </c>
      <c r="E91" s="420">
        <f t="shared" ref="E91:E96" si="15">(F91/F$97)</f>
        <v>5.3825412181215657E-2</v>
      </c>
      <c r="F91" s="203">
        <f>(M91*1.046)</f>
        <v>10.46</v>
      </c>
      <c r="G91" s="229">
        <f>H91*H90</f>
        <v>100</v>
      </c>
      <c r="H91" s="229">
        <f>(M91/L90)*1000000</f>
        <v>50000</v>
      </c>
      <c r="I91" s="250">
        <f>(M91/L90)</f>
        <v>0.05</v>
      </c>
      <c r="J91" s="430">
        <v>1.1000000000000001</v>
      </c>
      <c r="K91" s="672" t="s">
        <v>224</v>
      </c>
      <c r="L91" s="232"/>
      <c r="M91" s="255">
        <f>(L90*0.05)</f>
        <v>10</v>
      </c>
      <c r="N91" s="234">
        <f>('MP E-S Ene 24'!M32)</f>
        <v>393.81003201707574</v>
      </c>
      <c r="O91" s="234">
        <f t="shared" ref="O91:O96" si="16">(M91*N91)</f>
        <v>3938.1003201707572</v>
      </c>
      <c r="P91" s="235">
        <f>18.5*L90</f>
        <v>3700</v>
      </c>
      <c r="Q91" s="232"/>
      <c r="R91" s="255">
        <f>(Q90*0.05)</f>
        <v>0</v>
      </c>
      <c r="S91" s="232"/>
      <c r="T91" s="255">
        <f>(S90*0.05)</f>
        <v>0</v>
      </c>
      <c r="U91" s="236"/>
      <c r="V91" s="249">
        <f>((M91*V90)/L90)*1000</f>
        <v>50</v>
      </c>
      <c r="W91" s="238"/>
      <c r="X91" s="238"/>
      <c r="Y91" s="238"/>
      <c r="Z91" s="238"/>
      <c r="AA91" s="238"/>
      <c r="AB91" s="238"/>
      <c r="AC91" s="238"/>
      <c r="AD91" s="238"/>
      <c r="AE91" s="238"/>
      <c r="AF91" s="238"/>
      <c r="AG91" s="238"/>
      <c r="AH91" s="238"/>
      <c r="AI91" s="238"/>
      <c r="AJ91" s="238"/>
    </row>
    <row r="92" spans="2:36" s="213" customFormat="1" ht="18" customHeight="1" outlineLevel="1">
      <c r="C92" s="420">
        <f t="shared" si="14"/>
        <v>7.2287483541803824E-2</v>
      </c>
      <c r="D92" s="433">
        <f>(M92*0.937)</f>
        <v>14.055000000000001</v>
      </c>
      <c r="E92" s="420">
        <f t="shared" si="15"/>
        <v>7.2324681472943214E-2</v>
      </c>
      <c r="F92" s="203">
        <f>(M92*0.937)</f>
        <v>14.055000000000001</v>
      </c>
      <c r="G92" s="229">
        <f>H92*H90</f>
        <v>150</v>
      </c>
      <c r="H92" s="229">
        <f>(M92/L90)*1000000</f>
        <v>75000</v>
      </c>
      <c r="I92" s="250">
        <f>(M92/L90)</f>
        <v>7.4999999999999997E-2</v>
      </c>
      <c r="J92" s="430">
        <v>1.2</v>
      </c>
      <c r="K92" s="672" t="s">
        <v>223</v>
      </c>
      <c r="L92" s="232"/>
      <c r="M92" s="255">
        <f>(L90*0.075)</f>
        <v>15</v>
      </c>
      <c r="N92" s="234">
        <f>('MP E-S Ene 24'!M31)</f>
        <v>1055.8031088082903</v>
      </c>
      <c r="O92" s="234">
        <f t="shared" si="16"/>
        <v>15837.046632124355</v>
      </c>
      <c r="P92" s="239">
        <f>SUM(P90:P91)</f>
        <v>38862.997619679394</v>
      </c>
      <c r="Q92" s="232"/>
      <c r="R92" s="255">
        <f>(Q90*0.075)</f>
        <v>0</v>
      </c>
      <c r="S92" s="232"/>
      <c r="T92" s="255">
        <f>(S90*0.075)</f>
        <v>0</v>
      </c>
      <c r="U92" s="236"/>
      <c r="V92" s="249">
        <f>((M92*V90)/L90)*1000</f>
        <v>75</v>
      </c>
      <c r="W92" s="238"/>
      <c r="X92" s="238"/>
      <c r="Y92" s="238"/>
      <c r="Z92" s="238"/>
      <c r="AA92" s="238"/>
      <c r="AB92" s="238"/>
      <c r="AC92" s="238"/>
      <c r="AD92" s="238"/>
      <c r="AE92" s="238"/>
      <c r="AF92" s="238"/>
      <c r="AG92" s="238"/>
      <c r="AH92" s="238"/>
      <c r="AI92" s="238"/>
      <c r="AJ92" s="238"/>
    </row>
    <row r="93" spans="2:36" s="213" customFormat="1" ht="18" customHeight="1" outlineLevel="1">
      <c r="C93" s="420">
        <f t="shared" si="14"/>
        <v>4.4622284397630017E-2</v>
      </c>
      <c r="D93" s="433">
        <f>(M93*0.964)</f>
        <v>8.6760000000000002</v>
      </c>
      <c r="E93" s="420">
        <f t="shared" si="15"/>
        <v>4.464524627956281E-2</v>
      </c>
      <c r="F93" s="203">
        <f>(M93*0.964)</f>
        <v>8.6760000000000002</v>
      </c>
      <c r="G93" s="229">
        <f>H93*H90</f>
        <v>90</v>
      </c>
      <c r="H93" s="229">
        <f>(M93/L90)*1000000</f>
        <v>45000</v>
      </c>
      <c r="I93" s="250">
        <f>(M93/L90)</f>
        <v>4.4999999999999998E-2</v>
      </c>
      <c r="J93" s="430">
        <v>1.3</v>
      </c>
      <c r="K93" s="672" t="s">
        <v>221</v>
      </c>
      <c r="L93" s="232"/>
      <c r="M93" s="255">
        <f>(L90*0.045)</f>
        <v>9</v>
      </c>
      <c r="N93" s="234">
        <f>('MP E-S Ene 24'!M29)</f>
        <v>706.13562970936482</v>
      </c>
      <c r="O93" s="234">
        <f t="shared" si="16"/>
        <v>6355.2206673842829</v>
      </c>
      <c r="P93" s="243">
        <f>SUM(P92)/L90</f>
        <v>194.31498809839698</v>
      </c>
      <c r="Q93" s="232"/>
      <c r="R93" s="255">
        <f>(Q90*0.045)</f>
        <v>0</v>
      </c>
      <c r="S93" s="232"/>
      <c r="T93" s="255">
        <f>(S90*0.045)</f>
        <v>0</v>
      </c>
      <c r="U93" s="245"/>
      <c r="V93" s="249">
        <f>((M93*V90)/L90)*1000</f>
        <v>45</v>
      </c>
      <c r="W93" s="238"/>
      <c r="X93" s="238"/>
      <c r="Y93" s="238"/>
      <c r="Z93" s="238"/>
      <c r="AA93" s="238"/>
      <c r="AB93" s="238"/>
      <c r="AC93" s="238"/>
      <c r="AD93" s="238"/>
      <c r="AE93" s="238"/>
      <c r="AF93" s="238"/>
      <c r="AG93" s="238"/>
      <c r="AH93" s="238"/>
      <c r="AI93" s="238"/>
      <c r="AJ93" s="238"/>
    </row>
    <row r="94" spans="2:36" s="213" customFormat="1" ht="18" customHeight="1" outlineLevel="1">
      <c r="C94" s="420">
        <f t="shared" si="14"/>
        <v>4.0456303489137584E-2</v>
      </c>
      <c r="D94" s="433">
        <f>(M94*0.874)</f>
        <v>7.8659999999999997</v>
      </c>
      <c r="E94" s="420">
        <f t="shared" si="15"/>
        <v>4.0477121626906531E-2</v>
      </c>
      <c r="F94" s="203">
        <f>(M94*0.874)</f>
        <v>7.8659999999999997</v>
      </c>
      <c r="G94" s="229">
        <f>H94*H90</f>
        <v>90</v>
      </c>
      <c r="H94" s="229">
        <f>(M94/L90)*1000000</f>
        <v>45000</v>
      </c>
      <c r="I94" s="250">
        <f>(M94/L90)</f>
        <v>4.4999999999999998E-2</v>
      </c>
      <c r="J94" s="430">
        <v>1.4</v>
      </c>
      <c r="K94" s="672" t="s">
        <v>226</v>
      </c>
      <c r="L94" s="232"/>
      <c r="M94" s="255">
        <f>(L90*0.045)</f>
        <v>9</v>
      </c>
      <c r="N94" s="234">
        <f>('MP E-S Ene 24'!M34)</f>
        <v>110.93</v>
      </c>
      <c r="O94" s="234">
        <f t="shared" si="16"/>
        <v>998.37000000000012</v>
      </c>
      <c r="P94" s="244">
        <f>(P95-P93)/P93</f>
        <v>-1</v>
      </c>
      <c r="Q94" s="232"/>
      <c r="R94" s="255">
        <f>(Q90*0.045)</f>
        <v>0</v>
      </c>
      <c r="S94" s="232"/>
      <c r="T94" s="255">
        <f>(S90*0.045)</f>
        <v>0</v>
      </c>
      <c r="U94" s="236"/>
      <c r="V94" s="249">
        <f>((M94*V90)/L90)*1000</f>
        <v>45</v>
      </c>
      <c r="W94" s="238"/>
      <c r="X94" s="238"/>
      <c r="Y94" s="238"/>
      <c r="Z94" s="238"/>
      <c r="AA94" s="238"/>
      <c r="AB94" s="238"/>
      <c r="AC94" s="238"/>
      <c r="AD94" s="238"/>
      <c r="AE94" s="238"/>
      <c r="AF94" s="238"/>
      <c r="AG94" s="238"/>
      <c r="AH94" s="238"/>
      <c r="AI94" s="238"/>
      <c r="AJ94" s="238"/>
    </row>
    <row r="95" spans="2:36" s="213" customFormat="1" ht="18" customHeight="1" outlineLevel="1">
      <c r="B95" s="424">
        <f>(SUM(D91:D95)/L90)*1000</f>
        <v>311.65999999999997</v>
      </c>
      <c r="C95" s="420">
        <f t="shared" si="14"/>
        <v>0.10942128867676101</v>
      </c>
      <c r="D95" s="433">
        <f>(M95*0.851)</f>
        <v>21.274999999999999</v>
      </c>
      <c r="E95" s="420">
        <f t="shared" si="15"/>
        <v>0.10947759504353374</v>
      </c>
      <c r="F95" s="203">
        <f>(M95*0.851)</f>
        <v>21.274999999999999</v>
      </c>
      <c r="G95" s="229">
        <f>H95*H90</f>
        <v>250</v>
      </c>
      <c r="H95" s="229">
        <f>(M95/L90)*1000000</f>
        <v>125000</v>
      </c>
      <c r="I95" s="250">
        <f>(M95/L90)</f>
        <v>0.125</v>
      </c>
      <c r="J95" s="430">
        <v>1.5</v>
      </c>
      <c r="K95" s="672" t="s">
        <v>507</v>
      </c>
      <c r="L95" s="232"/>
      <c r="M95" s="255">
        <f>(L90*0.125)</f>
        <v>25</v>
      </c>
      <c r="N95" s="234">
        <f>('MP E-S Ene 24'!M38)</f>
        <v>13.5304</v>
      </c>
      <c r="O95" s="234">
        <f t="shared" si="16"/>
        <v>338.26</v>
      </c>
      <c r="P95" s="256"/>
      <c r="Q95" s="232"/>
      <c r="R95" s="255">
        <f>(Q90*0.125)</f>
        <v>0</v>
      </c>
      <c r="S95" s="232"/>
      <c r="T95" s="255">
        <f>(S90*0.125)</f>
        <v>0</v>
      </c>
      <c r="U95" s="257"/>
      <c r="V95" s="249">
        <f>((M95*V90)/L90)*1000</f>
        <v>125</v>
      </c>
      <c r="W95" s="258"/>
      <c r="X95" s="258"/>
      <c r="Y95" s="258"/>
      <c r="Z95" s="258"/>
      <c r="AA95" s="258"/>
      <c r="AB95" s="258"/>
      <c r="AC95" s="258"/>
      <c r="AD95" s="258"/>
      <c r="AE95" s="258"/>
      <c r="AF95" s="258"/>
      <c r="AG95" s="258"/>
      <c r="AH95" s="258"/>
      <c r="AI95" s="258"/>
      <c r="AJ95" s="258"/>
    </row>
    <row r="96" spans="2:36" s="213" customFormat="1" ht="18" customHeight="1" outlineLevel="1">
      <c r="C96" s="420">
        <f t="shared" si="14"/>
        <v>5.194618169848584E-2</v>
      </c>
      <c r="D96" s="433">
        <f>(M96*1.01)</f>
        <v>10.1</v>
      </c>
      <c r="E96" s="420">
        <f t="shared" si="15"/>
        <v>0.67924994339583811</v>
      </c>
      <c r="F96" s="421">
        <f>(M96+M97)</f>
        <v>132</v>
      </c>
      <c r="G96" s="229">
        <f>H96*H90</f>
        <v>100</v>
      </c>
      <c r="H96" s="229">
        <f>(M96/L90)*1000000</f>
        <v>50000</v>
      </c>
      <c r="I96" s="250">
        <f>(M96/L90)</f>
        <v>0.05</v>
      </c>
      <c r="J96" s="430">
        <v>1.6</v>
      </c>
      <c r="K96" s="672" t="s">
        <v>572</v>
      </c>
      <c r="L96" s="232"/>
      <c r="M96" s="255">
        <f>(L90*0.05)</f>
        <v>10</v>
      </c>
      <c r="N96" s="234">
        <f>('MP E-S Ene 24'!M13)</f>
        <v>629.6</v>
      </c>
      <c r="O96" s="234">
        <f t="shared" si="16"/>
        <v>6296</v>
      </c>
      <c r="P96" s="232"/>
      <c r="Q96" s="232"/>
      <c r="R96" s="255">
        <f>(Q90*0.05)</f>
        <v>0</v>
      </c>
      <c r="S96" s="232"/>
      <c r="T96" s="255">
        <f>(S90*0.05)</f>
        <v>0</v>
      </c>
      <c r="U96" s="259"/>
      <c r="V96" s="249">
        <f>((M96*V90)/L90)*1000</f>
        <v>50</v>
      </c>
      <c r="W96" s="260"/>
      <c r="X96" s="260"/>
      <c r="Y96" s="260"/>
      <c r="Z96" s="260"/>
      <c r="AA96" s="260"/>
      <c r="AB96" s="260"/>
      <c r="AC96" s="260"/>
      <c r="AD96" s="260"/>
      <c r="AE96" s="260"/>
      <c r="AF96" s="260"/>
      <c r="AG96" s="260"/>
      <c r="AH96" s="260"/>
      <c r="AI96" s="260"/>
      <c r="AJ96" s="260"/>
    </row>
    <row r="97" spans="2:36" s="213" customFormat="1" ht="18" customHeight="1" outlineLevel="1">
      <c r="C97" s="432">
        <f t="shared" si="14"/>
        <v>0.62746872942725473</v>
      </c>
      <c r="D97" s="434">
        <f>(M97*1)</f>
        <v>122</v>
      </c>
      <c r="E97" s="422">
        <f>SUM(E91:E96)</f>
        <v>1</v>
      </c>
      <c r="F97" s="203">
        <f>SUM(F91:F96)</f>
        <v>194.33199999999999</v>
      </c>
      <c r="G97" s="203"/>
      <c r="H97" s="229"/>
      <c r="I97" s="250">
        <f>(M97/L90)</f>
        <v>0.61</v>
      </c>
      <c r="J97" s="430">
        <v>1.7</v>
      </c>
      <c r="K97" s="672" t="s">
        <v>204</v>
      </c>
      <c r="L97" s="232"/>
      <c r="M97" s="255">
        <f>L90-SUM(M91:M96)</f>
        <v>122</v>
      </c>
      <c r="N97" s="234"/>
      <c r="O97" s="234">
        <f>(M97*N97)</f>
        <v>0</v>
      </c>
      <c r="P97" s="232"/>
      <c r="Q97" s="232"/>
      <c r="R97" s="255">
        <f>Q90-SUM(R91:R96)</f>
        <v>0</v>
      </c>
      <c r="S97" s="232"/>
      <c r="T97" s="255">
        <f>S90-SUM(T91:T96)</f>
        <v>0</v>
      </c>
      <c r="U97" s="261"/>
      <c r="V97" s="249">
        <f>((M97*V90)/L90)*1000</f>
        <v>610</v>
      </c>
      <c r="W97" s="262"/>
      <c r="X97" s="262"/>
      <c r="Y97" s="262"/>
      <c r="Z97" s="262"/>
      <c r="AA97" s="262"/>
      <c r="AB97" s="262"/>
      <c r="AC97" s="262"/>
      <c r="AD97" s="262"/>
      <c r="AE97" s="262"/>
      <c r="AF97" s="262"/>
      <c r="AG97" s="262"/>
      <c r="AH97" s="262"/>
      <c r="AI97" s="262"/>
      <c r="AJ97" s="262"/>
    </row>
    <row r="98" spans="2:36" s="213" customFormat="1" ht="18" customHeight="1" outlineLevel="1">
      <c r="C98" s="425">
        <f>SUM(C91:C97)</f>
        <v>1</v>
      </c>
      <c r="D98" s="435">
        <f>SUM(D91:D97)</f>
        <v>194.43200000000002</v>
      </c>
      <c r="E98" s="203"/>
      <c r="F98" s="203"/>
      <c r="G98" s="203"/>
      <c r="H98" s="250"/>
      <c r="I98" s="250"/>
      <c r="J98" s="430">
        <v>1.8</v>
      </c>
      <c r="K98" s="672" t="s">
        <v>249</v>
      </c>
      <c r="L98" s="232"/>
      <c r="M98" s="251">
        <f>(L90/20)</f>
        <v>10</v>
      </c>
      <c r="N98" s="234">
        <f>('MP E-S Ene 24'!M10)</f>
        <v>140</v>
      </c>
      <c r="O98" s="234">
        <f>(M98*N98)</f>
        <v>1400</v>
      </c>
      <c r="P98" s="232"/>
      <c r="Q98" s="232"/>
      <c r="R98" s="251">
        <f>(Q90/20)</f>
        <v>0</v>
      </c>
      <c r="S98" s="232"/>
      <c r="T98" s="251">
        <f>(S90/20)</f>
        <v>0</v>
      </c>
      <c r="U98" s="252"/>
      <c r="V98" s="252"/>
      <c r="W98" s="228"/>
      <c r="X98" s="228"/>
      <c r="Y98" s="253"/>
      <c r="Z98" s="253"/>
      <c r="AA98" s="253"/>
      <c r="AB98" s="253"/>
      <c r="AC98" s="253"/>
      <c r="AD98" s="253"/>
      <c r="AE98" s="253"/>
      <c r="AF98" s="253"/>
      <c r="AG98" s="253"/>
      <c r="AH98" s="253"/>
      <c r="AI98" s="253"/>
      <c r="AJ98" s="253"/>
    </row>
    <row r="99" spans="2:36" s="213" customFormat="1" ht="18" customHeight="1">
      <c r="C99" s="203" t="s">
        <v>567</v>
      </c>
      <c r="D99" s="203"/>
      <c r="E99" s="203" t="s">
        <v>567</v>
      </c>
      <c r="F99" s="203" t="s">
        <v>568</v>
      </c>
      <c r="G99" s="203" t="s">
        <v>240</v>
      </c>
      <c r="H99" s="203">
        <f>1/500</f>
        <v>2E-3</v>
      </c>
      <c r="I99" s="219" t="s">
        <v>250</v>
      </c>
      <c r="J99" s="277"/>
      <c r="K99" s="669" t="s">
        <v>646</v>
      </c>
      <c r="L99" s="413">
        <v>200</v>
      </c>
      <c r="M99" s="414" t="s">
        <v>242</v>
      </c>
      <c r="N99" s="670"/>
      <c r="O99" s="220"/>
      <c r="P99" s="221">
        <f>SUM(O100:O105)</f>
        <v>55564.640683150552</v>
      </c>
      <c r="Q99" s="222"/>
      <c r="R99" s="223" t="s">
        <v>242</v>
      </c>
      <c r="S99" s="254"/>
      <c r="T99" s="225"/>
      <c r="U99" s="226">
        <f>(P99/L99)</f>
        <v>277.82320341575274</v>
      </c>
      <c r="V99" s="227">
        <v>1</v>
      </c>
      <c r="W99" s="228"/>
      <c r="X99" s="228"/>
      <c r="Y99" s="228"/>
      <c r="Z99" s="228"/>
      <c r="AA99" s="228"/>
      <c r="AB99" s="228"/>
      <c r="AC99" s="228"/>
      <c r="AD99" s="228"/>
      <c r="AE99" s="228"/>
      <c r="AF99" s="228"/>
      <c r="AG99" s="228"/>
      <c r="AH99" s="228"/>
      <c r="AI99" s="228"/>
      <c r="AJ99" s="228"/>
    </row>
    <row r="100" spans="2:36" s="213" customFormat="1" ht="18" customHeight="1" outlineLevel="1">
      <c r="C100" s="420">
        <f>(D100/D$105)</f>
        <v>7.5665736946258E-2</v>
      </c>
      <c r="D100" s="433">
        <f>(M100*0.9105)</f>
        <v>14.568</v>
      </c>
      <c r="E100" s="420">
        <f>(F100/F$104)</f>
        <v>7.5705057916863716E-2</v>
      </c>
      <c r="F100" s="203">
        <f>(M100*0.9105)</f>
        <v>14.568</v>
      </c>
      <c r="G100" s="229">
        <f>H100*H99</f>
        <v>160</v>
      </c>
      <c r="H100" s="229">
        <f>(M100/L99)*1000000</f>
        <v>80000</v>
      </c>
      <c r="I100" s="250">
        <f>(M100/L99)</f>
        <v>0.08</v>
      </c>
      <c r="J100" s="430">
        <v>1.1000000000000001</v>
      </c>
      <c r="K100" s="672" t="s">
        <v>227</v>
      </c>
      <c r="L100" s="232"/>
      <c r="M100" s="255">
        <f>(L99*0.08)</f>
        <v>16</v>
      </c>
      <c r="N100" s="234">
        <f>('MP E-S Ene 24'!M35)</f>
        <v>1841.2471395881007</v>
      </c>
      <c r="O100" s="234">
        <f t="shared" ref="O100:O105" si="17">(M100*N100)</f>
        <v>29459.954233409611</v>
      </c>
      <c r="P100" s="235">
        <f>18.5*L99</f>
        <v>3700</v>
      </c>
      <c r="Q100" s="232"/>
      <c r="R100" s="255">
        <f>(Q99*0.08)</f>
        <v>0</v>
      </c>
      <c r="S100" s="232"/>
      <c r="T100" s="255">
        <f>(S99*0.08)</f>
        <v>0</v>
      </c>
      <c r="U100" s="236"/>
      <c r="V100" s="249">
        <f>((M100*V99)/L99)*1000</f>
        <v>80</v>
      </c>
      <c r="W100" s="238"/>
      <c r="X100" s="238"/>
      <c r="Y100" s="238"/>
      <c r="Z100" s="238"/>
      <c r="AA100" s="238"/>
      <c r="AB100" s="238"/>
      <c r="AC100" s="238"/>
      <c r="AD100" s="238"/>
      <c r="AE100" s="238"/>
      <c r="AF100" s="238"/>
      <c r="AG100" s="238"/>
      <c r="AH100" s="238"/>
      <c r="AI100" s="238"/>
      <c r="AJ100" s="238"/>
    </row>
    <row r="101" spans="2:36" s="213" customFormat="1" ht="18" customHeight="1" outlineLevel="1">
      <c r="C101" s="420">
        <f>(D101/D$105)</f>
        <v>8.2734728433343202E-2</v>
      </c>
      <c r="D101" s="433">
        <f>(M101*0.937)</f>
        <v>15.929</v>
      </c>
      <c r="E101" s="420">
        <f>(F101/F$104)</f>
        <v>8.2777722924061103E-2</v>
      </c>
      <c r="F101" s="203">
        <f>(M101*0.937)</f>
        <v>15.929</v>
      </c>
      <c r="G101" s="229">
        <f>H101*H99</f>
        <v>170</v>
      </c>
      <c r="H101" s="229">
        <f>(M101/L99)*1000000</f>
        <v>85000</v>
      </c>
      <c r="I101" s="250">
        <f>(M101/L99)</f>
        <v>8.5000000000000006E-2</v>
      </c>
      <c r="J101" s="430" t="s">
        <v>244</v>
      </c>
      <c r="K101" s="672" t="s">
        <v>223</v>
      </c>
      <c r="L101" s="232"/>
      <c r="M101" s="255">
        <f>(L99*0.085)</f>
        <v>17</v>
      </c>
      <c r="N101" s="234">
        <f>('MP E-S Ene 24'!M31)</f>
        <v>1055.8031088082903</v>
      </c>
      <c r="O101" s="234">
        <f t="shared" si="17"/>
        <v>17948.652849740934</v>
      </c>
      <c r="P101" s="239">
        <f>SUM(P99:P100)</f>
        <v>59264.640683150552</v>
      </c>
      <c r="Q101" s="232"/>
      <c r="R101" s="255">
        <f>(Q99*0.085)</f>
        <v>0</v>
      </c>
      <c r="S101" s="232"/>
      <c r="T101" s="255">
        <f>(S99*0.085)</f>
        <v>0</v>
      </c>
      <c r="U101" s="236"/>
      <c r="V101" s="249">
        <f>((M101*V99)/L99)*1000</f>
        <v>85</v>
      </c>
      <c r="W101" s="238"/>
      <c r="X101" s="238"/>
      <c r="Y101" s="238"/>
      <c r="Z101" s="238"/>
      <c r="AA101" s="238"/>
      <c r="AB101" s="238"/>
      <c r="AC101" s="238"/>
      <c r="AD101" s="238"/>
      <c r="AE101" s="238"/>
      <c r="AF101" s="238"/>
      <c r="AG101" s="238"/>
      <c r="AH101" s="238"/>
      <c r="AI101" s="238"/>
      <c r="AJ101" s="238"/>
    </row>
    <row r="102" spans="2:36" s="213" customFormat="1" ht="18" customHeight="1" outlineLevel="1">
      <c r="B102" s="424">
        <f>(SUM(D100:D102)/L99)*1000</f>
        <v>297.15500000000003</v>
      </c>
      <c r="C102" s="420">
        <f>(D102/D$105)</f>
        <v>0.15028229220229467</v>
      </c>
      <c r="D102" s="433">
        <f>(M102*0.851)</f>
        <v>28.933999999999997</v>
      </c>
      <c r="E102" s="420">
        <f>(F102/F$104)</f>
        <v>0.15036038891862538</v>
      </c>
      <c r="F102" s="203">
        <f>(M102*0.851)</f>
        <v>28.933999999999997</v>
      </c>
      <c r="G102" s="229">
        <f>H102*H99</f>
        <v>340</v>
      </c>
      <c r="H102" s="229">
        <f>(M102/L99)*1000000</f>
        <v>170000</v>
      </c>
      <c r="I102" s="250">
        <f>(M102/L99)</f>
        <v>0.17</v>
      </c>
      <c r="J102" s="430" t="s">
        <v>245</v>
      </c>
      <c r="K102" s="672" t="s">
        <v>507</v>
      </c>
      <c r="L102" s="232"/>
      <c r="M102" s="255">
        <f>(L99*0.17)</f>
        <v>34</v>
      </c>
      <c r="N102" s="234">
        <f>('MP E-S Ene 24'!M38)</f>
        <v>13.5304</v>
      </c>
      <c r="O102" s="234">
        <f t="shared" si="17"/>
        <v>460.03359999999998</v>
      </c>
      <c r="P102" s="243">
        <f>SUM(P101)/L99</f>
        <v>296.32320341575274</v>
      </c>
      <c r="Q102" s="232"/>
      <c r="R102" s="255">
        <f>(Q99*0.17)</f>
        <v>0</v>
      </c>
      <c r="S102" s="232"/>
      <c r="T102" s="255">
        <f>(S99*0.17)</f>
        <v>0</v>
      </c>
      <c r="U102" s="257"/>
      <c r="V102" s="249">
        <f>((M102*V99)/L99)*1000</f>
        <v>170</v>
      </c>
      <c r="W102" s="258"/>
      <c r="X102" s="258"/>
      <c r="Y102" s="258"/>
      <c r="Z102" s="258"/>
      <c r="AA102" s="258"/>
      <c r="AB102" s="258"/>
      <c r="AC102" s="258"/>
      <c r="AD102" s="258"/>
      <c r="AE102" s="258"/>
      <c r="AF102" s="258"/>
      <c r="AG102" s="258"/>
      <c r="AH102" s="258"/>
      <c r="AI102" s="258"/>
      <c r="AJ102" s="258"/>
    </row>
    <row r="103" spans="2:36" s="213" customFormat="1" ht="18" customHeight="1" outlineLevel="1">
      <c r="C103" s="420">
        <f>(D103/D$105)</f>
        <v>5.2459084511065748E-2</v>
      </c>
      <c r="D103" s="433">
        <f>(M103*1.01)</f>
        <v>10.1</v>
      </c>
      <c r="E103" s="420">
        <f>(F103/F$104)</f>
        <v>0.69115683024044994</v>
      </c>
      <c r="F103" s="421">
        <f>(M103+M104)</f>
        <v>133</v>
      </c>
      <c r="G103" s="229">
        <f>H103*H99</f>
        <v>100</v>
      </c>
      <c r="H103" s="229">
        <f>(M103/L99)*1000000</f>
        <v>50000</v>
      </c>
      <c r="I103" s="250">
        <f>(M103/L99)</f>
        <v>0.05</v>
      </c>
      <c r="J103" s="430" t="s">
        <v>246</v>
      </c>
      <c r="K103" s="672" t="s">
        <v>572</v>
      </c>
      <c r="L103" s="232"/>
      <c r="M103" s="255">
        <f>(L99*0.05)</f>
        <v>10</v>
      </c>
      <c r="N103" s="234">
        <f>('MP E-S Ene 24'!M13)</f>
        <v>629.6</v>
      </c>
      <c r="O103" s="234">
        <f t="shared" si="17"/>
        <v>6296</v>
      </c>
      <c r="P103" s="244">
        <f>(P104-P102)/P102</f>
        <v>9.0333681378694086E-3</v>
      </c>
      <c r="Q103" s="232"/>
      <c r="R103" s="255">
        <f>(Q99*0.05)</f>
        <v>0</v>
      </c>
      <c r="S103" s="232"/>
      <c r="T103" s="255">
        <f>(S99*0.05)</f>
        <v>0</v>
      </c>
      <c r="U103" s="259"/>
      <c r="V103" s="249">
        <f>((M103*V99)/L99)*1000</f>
        <v>50</v>
      </c>
      <c r="W103" s="260"/>
      <c r="X103" s="260"/>
      <c r="Y103" s="260"/>
      <c r="Z103" s="260"/>
      <c r="AA103" s="260"/>
      <c r="AB103" s="260"/>
      <c r="AC103" s="260"/>
      <c r="AD103" s="260"/>
      <c r="AE103" s="260"/>
      <c r="AF103" s="260"/>
      <c r="AG103" s="260"/>
      <c r="AH103" s="260"/>
      <c r="AI103" s="260"/>
      <c r="AJ103" s="260"/>
    </row>
    <row r="104" spans="2:36" s="213" customFormat="1" ht="18" customHeight="1" outlineLevel="1">
      <c r="C104" s="432">
        <f>(D104/D$105)</f>
        <v>0.63885815790703837</v>
      </c>
      <c r="D104" s="434">
        <f>(M104*1)</f>
        <v>123</v>
      </c>
      <c r="E104" s="422">
        <f>SUM(E100:E103)</f>
        <v>1</v>
      </c>
      <c r="F104" s="203">
        <f>SUM(F100:F103)</f>
        <v>192.43099999999998</v>
      </c>
      <c r="G104" s="203"/>
      <c r="H104" s="229"/>
      <c r="I104" s="250">
        <f>(M104/L99)</f>
        <v>0.61499999999999999</v>
      </c>
      <c r="J104" s="430" t="s">
        <v>247</v>
      </c>
      <c r="K104" s="672" t="s">
        <v>204</v>
      </c>
      <c r="L104" s="232"/>
      <c r="M104" s="255">
        <f>L99-SUM(M100:M103)</f>
        <v>123</v>
      </c>
      <c r="N104" s="234"/>
      <c r="O104" s="234">
        <f t="shared" si="17"/>
        <v>0</v>
      </c>
      <c r="P104" s="256">
        <v>299</v>
      </c>
      <c r="Q104" s="232"/>
      <c r="R104" s="255">
        <f>Q99-SUM(R100:R103)</f>
        <v>0</v>
      </c>
      <c r="S104" s="232"/>
      <c r="T104" s="255">
        <f>S99-SUM(T100:T103)</f>
        <v>0</v>
      </c>
      <c r="U104" s="261"/>
      <c r="V104" s="249">
        <f>((M104*V99)/L99)*1000</f>
        <v>615</v>
      </c>
      <c r="W104" s="262"/>
      <c r="X104" s="262"/>
      <c r="Y104" s="262"/>
      <c r="Z104" s="262"/>
      <c r="AA104" s="262"/>
      <c r="AB104" s="262"/>
      <c r="AC104" s="262"/>
      <c r="AD104" s="262"/>
      <c r="AE104" s="262"/>
      <c r="AF104" s="262"/>
      <c r="AG104" s="262"/>
      <c r="AH104" s="262"/>
      <c r="AI104" s="262"/>
      <c r="AJ104" s="262"/>
    </row>
    <row r="105" spans="2:36" s="213" customFormat="1" ht="18" customHeight="1" outlineLevel="1">
      <c r="C105" s="425">
        <f>SUM(C100:C104)</f>
        <v>1</v>
      </c>
      <c r="D105" s="435">
        <f>SUM(D100:D104)</f>
        <v>192.53100000000001</v>
      </c>
      <c r="E105" s="203"/>
      <c r="F105" s="203"/>
      <c r="G105" s="203"/>
      <c r="H105" s="250"/>
      <c r="I105" s="250"/>
      <c r="J105" s="430" t="s">
        <v>248</v>
      </c>
      <c r="K105" s="672" t="s">
        <v>249</v>
      </c>
      <c r="L105" s="232"/>
      <c r="M105" s="251">
        <f>(L99/20)</f>
        <v>10</v>
      </c>
      <c r="N105" s="234">
        <f>('MP E-S Ene 24'!M10)</f>
        <v>140</v>
      </c>
      <c r="O105" s="234">
        <f t="shared" si="17"/>
        <v>1400</v>
      </c>
      <c r="P105" s="232"/>
      <c r="Q105" s="232"/>
      <c r="R105" s="251">
        <f>(Q99/20)</f>
        <v>0</v>
      </c>
      <c r="S105" s="232"/>
      <c r="T105" s="251">
        <f>(S99/20)</f>
        <v>0</v>
      </c>
      <c r="U105" s="252"/>
      <c r="V105" s="252"/>
      <c r="W105" s="228"/>
      <c r="X105" s="228"/>
      <c r="Y105" s="253"/>
      <c r="Z105" s="253"/>
      <c r="AA105" s="253"/>
      <c r="AB105" s="253"/>
      <c r="AC105" s="253"/>
      <c r="AD105" s="253"/>
      <c r="AE105" s="253"/>
      <c r="AF105" s="253"/>
      <c r="AG105" s="253"/>
      <c r="AH105" s="253"/>
      <c r="AI105" s="253"/>
      <c r="AJ105" s="253"/>
    </row>
    <row r="106" spans="2:36" s="213" customFormat="1" ht="18" customHeight="1">
      <c r="C106" s="203" t="s">
        <v>567</v>
      </c>
      <c r="D106" s="203"/>
      <c r="E106" s="203" t="s">
        <v>567</v>
      </c>
      <c r="F106" s="203" t="s">
        <v>568</v>
      </c>
      <c r="G106" s="203" t="s">
        <v>240</v>
      </c>
      <c r="H106" s="203">
        <f>1/500</f>
        <v>2E-3</v>
      </c>
      <c r="I106" s="219" t="s">
        <v>250</v>
      </c>
      <c r="J106" s="277"/>
      <c r="K106" s="669" t="s">
        <v>647</v>
      </c>
      <c r="L106" s="413">
        <v>200</v>
      </c>
      <c r="M106" s="414" t="s">
        <v>242</v>
      </c>
      <c r="N106" s="670"/>
      <c r="O106" s="220"/>
      <c r="P106" s="221">
        <f>SUM(O107:O110)</f>
        <v>9049.0400000000009</v>
      </c>
      <c r="Q106" s="222"/>
      <c r="R106" s="223" t="s">
        <v>242</v>
      </c>
      <c r="S106" s="254"/>
      <c r="T106" s="225"/>
      <c r="U106" s="226">
        <f>(P106/L106)</f>
        <v>45.245200000000004</v>
      </c>
      <c r="V106" s="227">
        <v>1</v>
      </c>
      <c r="W106" s="228"/>
      <c r="X106" s="228"/>
      <c r="Y106" s="228"/>
      <c r="Z106" s="228"/>
      <c r="AA106" s="228"/>
      <c r="AB106" s="228"/>
      <c r="AC106" s="228"/>
      <c r="AD106" s="228"/>
      <c r="AE106" s="228"/>
      <c r="AF106" s="228"/>
      <c r="AG106" s="228"/>
      <c r="AH106" s="228"/>
      <c r="AI106" s="228"/>
      <c r="AJ106" s="228"/>
    </row>
    <row r="107" spans="2:36" s="213" customFormat="1" ht="18" customHeight="1" outlineLevel="1">
      <c r="B107" s="437">
        <f>(SUM(D107)/L106)*1000</f>
        <v>425.5</v>
      </c>
      <c r="C107" s="423">
        <f>(D107/D$110)</f>
        <v>0.45950323974082075</v>
      </c>
      <c r="D107" s="203">
        <f>(M107*0.851)</f>
        <v>85.1</v>
      </c>
      <c r="E107" s="420">
        <f>(F107/F$109)</f>
        <v>0.45975148568341434</v>
      </c>
      <c r="F107" s="203">
        <f>(M107*0.851)</f>
        <v>85.1</v>
      </c>
      <c r="G107" s="229">
        <f>H107*H106</f>
        <v>1000</v>
      </c>
      <c r="H107" s="229">
        <f>(M107/L106)*1000000</f>
        <v>500000</v>
      </c>
      <c r="I107" s="250">
        <f>(M107/L106)</f>
        <v>0.5</v>
      </c>
      <c r="J107" s="430" t="s">
        <v>243</v>
      </c>
      <c r="K107" s="672" t="s">
        <v>507</v>
      </c>
      <c r="L107" s="232"/>
      <c r="M107" s="255">
        <f>(L106*0.5)</f>
        <v>100</v>
      </c>
      <c r="N107" s="234">
        <f>('MP E-S Ene 24'!M38)</f>
        <v>13.5304</v>
      </c>
      <c r="O107" s="234">
        <f>(M107*N107)</f>
        <v>1353.04</v>
      </c>
      <c r="P107" s="239">
        <f>SUM(P106:P106)</f>
        <v>9049.0400000000009</v>
      </c>
      <c r="Q107" s="232"/>
      <c r="R107" s="255">
        <f>(Q106*0.5)</f>
        <v>0</v>
      </c>
      <c r="S107" s="232"/>
      <c r="T107" s="255">
        <f>(S106*0.5)</f>
        <v>0</v>
      </c>
      <c r="U107" s="257"/>
      <c r="V107" s="249">
        <f>((M107*V106)/L106)*1000</f>
        <v>500</v>
      </c>
      <c r="W107" s="258"/>
      <c r="X107" s="258"/>
      <c r="Y107" s="258"/>
      <c r="Z107" s="258"/>
      <c r="AA107" s="258"/>
      <c r="AB107" s="258"/>
      <c r="AC107" s="258"/>
      <c r="AD107" s="258"/>
      <c r="AE107" s="258"/>
      <c r="AF107" s="258"/>
      <c r="AG107" s="258"/>
      <c r="AH107" s="258"/>
      <c r="AI107" s="258"/>
      <c r="AJ107" s="258"/>
    </row>
    <row r="108" spans="2:36" s="213" customFormat="1" ht="18" customHeight="1" outlineLevel="1">
      <c r="C108" s="423">
        <f>(D108/D$110)</f>
        <v>5.4535637149028079E-2</v>
      </c>
      <c r="D108" s="203">
        <f>(M108*1.01)</f>
        <v>10.1</v>
      </c>
      <c r="E108" s="420">
        <f>(F108/F$109)</f>
        <v>0.5402485143165856</v>
      </c>
      <c r="F108" s="421">
        <f>(M108+M109)</f>
        <v>100</v>
      </c>
      <c r="G108" s="229">
        <f>H108*H106</f>
        <v>100</v>
      </c>
      <c r="H108" s="229">
        <f>(M108/L106)*1000000</f>
        <v>50000</v>
      </c>
      <c r="I108" s="250">
        <f>(M108/L106)</f>
        <v>0.05</v>
      </c>
      <c r="J108" s="430" t="s">
        <v>244</v>
      </c>
      <c r="K108" s="672" t="s">
        <v>572</v>
      </c>
      <c r="L108" s="232"/>
      <c r="M108" s="255">
        <f>(L106*0.05)</f>
        <v>10</v>
      </c>
      <c r="N108" s="234">
        <f>('MP E-S Ene 24'!M13)</f>
        <v>629.6</v>
      </c>
      <c r="O108" s="234">
        <f>(M108*N108)</f>
        <v>6296</v>
      </c>
      <c r="P108" s="243">
        <f>SUM(P107)/L106</f>
        <v>45.245200000000004</v>
      </c>
      <c r="Q108" s="232"/>
      <c r="R108" s="255">
        <f>(Q106*0.05)</f>
        <v>0</v>
      </c>
      <c r="S108" s="232"/>
      <c r="T108" s="255">
        <f>(S106*0.05)</f>
        <v>0</v>
      </c>
      <c r="U108" s="259"/>
      <c r="V108" s="249">
        <f>((M108*V106)/L106)*1000</f>
        <v>50</v>
      </c>
      <c r="W108" s="260"/>
      <c r="X108" s="260"/>
      <c r="Y108" s="260"/>
      <c r="Z108" s="260"/>
      <c r="AA108" s="260"/>
      <c r="AB108" s="260"/>
      <c r="AC108" s="260"/>
      <c r="AD108" s="260"/>
      <c r="AE108" s="260"/>
      <c r="AF108" s="260"/>
      <c r="AG108" s="260"/>
      <c r="AH108" s="260"/>
      <c r="AI108" s="260"/>
      <c r="AJ108" s="260"/>
    </row>
    <row r="109" spans="2:36" s="213" customFormat="1" ht="18" customHeight="1" outlineLevel="1">
      <c r="C109" s="436">
        <f>(D109/D$110)</f>
        <v>0.48596112311015122</v>
      </c>
      <c r="D109" s="431">
        <f>(M109*1)</f>
        <v>90</v>
      </c>
      <c r="E109" s="422">
        <f>SUM(E107:E108)</f>
        <v>1</v>
      </c>
      <c r="F109" s="203">
        <f>SUM(F107:F108)</f>
        <v>185.1</v>
      </c>
      <c r="G109" s="203"/>
      <c r="H109" s="229"/>
      <c r="I109" s="250">
        <f>(M109/L106)</f>
        <v>0.45</v>
      </c>
      <c r="J109" s="430" t="s">
        <v>245</v>
      </c>
      <c r="K109" s="672" t="s">
        <v>204</v>
      </c>
      <c r="L109" s="232"/>
      <c r="M109" s="255">
        <f>L106-SUM(M107:M108)</f>
        <v>90</v>
      </c>
      <c r="N109" s="234"/>
      <c r="O109" s="234">
        <f>(M109*N109)</f>
        <v>0</v>
      </c>
      <c r="P109" s="244">
        <f>(P110-P108)/P108</f>
        <v>5.6084358119756343</v>
      </c>
      <c r="Q109" s="232"/>
      <c r="R109" s="255">
        <f>Q106-SUM(R107:R108)</f>
        <v>0</v>
      </c>
      <c r="S109" s="232"/>
      <c r="T109" s="255">
        <f>S106-SUM(T107:T108)</f>
        <v>0</v>
      </c>
      <c r="U109" s="261"/>
      <c r="V109" s="249">
        <f>((M109*V106)/L106)*1000</f>
        <v>450</v>
      </c>
      <c r="W109" s="262"/>
      <c r="X109" s="262"/>
      <c r="Y109" s="262"/>
      <c r="Z109" s="262"/>
      <c r="AA109" s="262"/>
      <c r="AB109" s="262"/>
      <c r="AC109" s="262"/>
      <c r="AD109" s="262"/>
      <c r="AE109" s="262"/>
      <c r="AF109" s="262"/>
      <c r="AG109" s="262"/>
      <c r="AH109" s="262"/>
      <c r="AI109" s="262"/>
      <c r="AJ109" s="262"/>
    </row>
    <row r="110" spans="2:36" s="213" customFormat="1" ht="18" customHeight="1" outlineLevel="1">
      <c r="C110" s="425">
        <f>SUM(C107:C109)</f>
        <v>1</v>
      </c>
      <c r="D110" s="213">
        <f>SUM(D107:D109)</f>
        <v>185.2</v>
      </c>
      <c r="E110" s="203"/>
      <c r="F110" s="203"/>
      <c r="G110" s="203"/>
      <c r="H110" s="250"/>
      <c r="I110" s="250"/>
      <c r="J110" s="430" t="s">
        <v>246</v>
      </c>
      <c r="K110" s="672" t="s">
        <v>249</v>
      </c>
      <c r="L110" s="232"/>
      <c r="M110" s="251">
        <f>(L106/20)</f>
        <v>10</v>
      </c>
      <c r="N110" s="234">
        <f>('MP E-S Ene 24'!M10)</f>
        <v>140</v>
      </c>
      <c r="O110" s="234">
        <f>(M110*N110)</f>
        <v>1400</v>
      </c>
      <c r="P110" s="256">
        <v>299</v>
      </c>
      <c r="Q110" s="232"/>
      <c r="R110" s="251">
        <f>(Q106/20)</f>
        <v>0</v>
      </c>
      <c r="S110" s="232"/>
      <c r="T110" s="251">
        <f>(S106/20)</f>
        <v>0</v>
      </c>
      <c r="U110" s="252"/>
      <c r="V110" s="252"/>
      <c r="W110" s="228"/>
      <c r="X110" s="228"/>
      <c r="Y110" s="253"/>
      <c r="Z110" s="253"/>
      <c r="AA110" s="253"/>
      <c r="AB110" s="253"/>
      <c r="AC110" s="253"/>
      <c r="AD110" s="253"/>
      <c r="AE110" s="253"/>
      <c r="AF110" s="253"/>
      <c r="AG110" s="253"/>
      <c r="AH110" s="253"/>
      <c r="AI110" s="253"/>
      <c r="AJ110" s="253"/>
    </row>
    <row r="111" spans="2:36" ht="18" customHeight="1">
      <c r="H111" s="276"/>
      <c r="I111" s="276"/>
      <c r="J111" s="276"/>
      <c r="K111" s="283"/>
      <c r="L111" s="276"/>
      <c r="M111" s="276"/>
      <c r="N111" s="276"/>
      <c r="O111" s="276"/>
      <c r="P111" s="276"/>
      <c r="Q111" s="276"/>
      <c r="R111" s="276"/>
      <c r="S111" s="276"/>
      <c r="T111" s="276"/>
      <c r="U111" s="276"/>
      <c r="V111" s="276"/>
    </row>
    <row r="112" spans="2:36" ht="18" customHeight="1">
      <c r="H112" s="276"/>
      <c r="I112" s="276"/>
      <c r="J112" s="276"/>
      <c r="K112" s="283"/>
      <c r="L112" s="276"/>
      <c r="M112" s="276"/>
      <c r="N112" s="276"/>
      <c r="O112" s="276"/>
      <c r="P112" s="276"/>
      <c r="Q112" s="276"/>
      <c r="R112" s="276"/>
      <c r="S112" s="276"/>
      <c r="T112" s="276"/>
      <c r="U112" s="276"/>
      <c r="V112" s="276"/>
    </row>
    <row r="113" spans="2:22" ht="18" customHeight="1">
      <c r="H113" s="276"/>
      <c r="I113" s="276"/>
      <c r="J113" s="276"/>
      <c r="K113" s="283"/>
      <c r="L113" s="276"/>
      <c r="M113" s="276" t="s">
        <v>364</v>
      </c>
      <c r="N113" s="285">
        <v>674</v>
      </c>
      <c r="O113" s="276"/>
      <c r="P113" s="286">
        <f>(N113/1000)*0.3</f>
        <v>0.20220000000000002</v>
      </c>
      <c r="Q113" s="276" t="s">
        <v>364</v>
      </c>
      <c r="R113" s="276"/>
      <c r="U113" s="276"/>
      <c r="V113" s="276"/>
    </row>
    <row r="114" spans="2:22" ht="18" customHeight="1">
      <c r="B114" s="288">
        <f>(T24/2200)</f>
        <v>0</v>
      </c>
      <c r="C114" s="288"/>
      <c r="D114" s="288"/>
      <c r="E114" s="288"/>
      <c r="F114" s="288"/>
      <c r="H114" s="276"/>
      <c r="I114" s="276"/>
      <c r="J114" s="276"/>
      <c r="K114" s="283"/>
      <c r="L114" s="276"/>
      <c r="M114" s="276"/>
      <c r="N114" s="285">
        <f>(1350/9.46)</f>
        <v>142.70613107822408</v>
      </c>
      <c r="O114" s="271" t="s">
        <v>362</v>
      </c>
      <c r="P114" s="272">
        <f>(N114*2.5)</f>
        <v>356.76532769556019</v>
      </c>
      <c r="Q114" s="289">
        <f>(P114+P113)</f>
        <v>356.96752769556019</v>
      </c>
      <c r="R114" s="290">
        <f>(Q114-Q115)/Q114</f>
        <v>0.3836974432373943</v>
      </c>
      <c r="U114" s="276"/>
      <c r="V114" s="276"/>
    </row>
    <row r="115" spans="2:22" ht="18" customHeight="1">
      <c r="B115" s="288">
        <f>(T25/2200)</f>
        <v>0</v>
      </c>
      <c r="C115" s="288"/>
      <c r="D115" s="288"/>
      <c r="E115" s="288"/>
      <c r="F115" s="288"/>
      <c r="H115" s="276"/>
      <c r="I115" s="276"/>
      <c r="J115" s="276"/>
      <c r="K115" s="283"/>
      <c r="L115" s="276"/>
      <c r="M115" s="276"/>
      <c r="N115" s="285">
        <f>(P27)</f>
        <v>110</v>
      </c>
      <c r="O115" s="271" t="s">
        <v>363</v>
      </c>
      <c r="P115" s="272">
        <f>(N115*2)</f>
        <v>220</v>
      </c>
      <c r="Q115" s="289">
        <f>(P115)</f>
        <v>220</v>
      </c>
      <c r="R115" s="291"/>
      <c r="U115" s="276"/>
      <c r="V115" s="276"/>
    </row>
    <row r="116" spans="2:22" ht="18" customHeight="1">
      <c r="B116" s="288">
        <f>(T26/2200)</f>
        <v>0</v>
      </c>
      <c r="C116" s="288"/>
      <c r="D116" s="288"/>
      <c r="E116" s="288"/>
      <c r="F116" s="288"/>
      <c r="H116" s="276"/>
      <c r="I116" s="276"/>
      <c r="J116" s="276"/>
      <c r="K116" s="283"/>
      <c r="L116" s="276"/>
      <c r="M116" s="276"/>
      <c r="N116" s="276"/>
      <c r="O116" s="276"/>
      <c r="P116" s="276"/>
      <c r="Q116" s="276"/>
      <c r="R116" s="276"/>
      <c r="S116" s="276"/>
      <c r="T116" s="276"/>
      <c r="U116" s="276"/>
      <c r="V116" s="276"/>
    </row>
    <row r="117" spans="2:22" ht="18" customHeight="1">
      <c r="B117" s="283"/>
      <c r="C117" s="283"/>
      <c r="D117" s="283"/>
      <c r="E117" s="283"/>
      <c r="F117" s="283"/>
      <c r="G117" s="283"/>
      <c r="I117" s="276"/>
      <c r="J117" s="276"/>
      <c r="K117" s="283"/>
      <c r="L117" s="276"/>
      <c r="M117" s="276"/>
      <c r="N117" s="276"/>
      <c r="O117" s="276"/>
      <c r="P117" s="276"/>
      <c r="Q117" s="276"/>
      <c r="R117" s="276"/>
      <c r="S117" s="276"/>
      <c r="T117" s="276"/>
      <c r="U117" s="276"/>
      <c r="V117" s="276"/>
    </row>
    <row r="118" spans="2:22" ht="18" customHeight="1">
      <c r="B118" s="283"/>
      <c r="C118" s="283"/>
      <c r="D118" s="283"/>
      <c r="E118" s="283"/>
      <c r="F118" s="283"/>
      <c r="G118" s="283"/>
      <c r="H118" s="276"/>
      <c r="I118" s="276"/>
      <c r="J118" s="276"/>
      <c r="K118" s="283"/>
      <c r="L118" s="276"/>
      <c r="M118" s="276"/>
      <c r="N118" s="276"/>
      <c r="O118" s="276"/>
      <c r="P118" s="276"/>
      <c r="Q118" s="276"/>
      <c r="R118" s="276"/>
      <c r="S118" s="276"/>
      <c r="T118" s="276"/>
      <c r="U118" s="276"/>
      <c r="V118" s="276"/>
    </row>
    <row r="119" spans="2:22">
      <c r="B119" s="283"/>
      <c r="C119" s="283"/>
      <c r="D119" s="283"/>
      <c r="E119" s="283"/>
      <c r="F119" s="283"/>
      <c r="G119" s="283"/>
      <c r="H119" s="276"/>
      <c r="I119" s="276"/>
      <c r="J119" s="276"/>
      <c r="K119" s="283"/>
      <c r="L119" s="276"/>
      <c r="M119" s="276"/>
      <c r="N119" s="276"/>
      <c r="O119" s="276"/>
      <c r="P119" s="276"/>
      <c r="Q119" s="276"/>
      <c r="R119" s="276"/>
      <c r="S119" s="276"/>
      <c r="T119" s="276"/>
      <c r="U119" s="276"/>
      <c r="V119" s="276"/>
    </row>
    <row r="120" spans="2:22">
      <c r="B120" s="283"/>
      <c r="C120" s="283"/>
      <c r="D120" s="283"/>
      <c r="E120" s="283"/>
      <c r="F120" s="283"/>
      <c r="G120" s="283"/>
      <c r="H120" s="276"/>
      <c r="I120" s="276"/>
      <c r="J120" s="276"/>
      <c r="K120" s="283"/>
      <c r="L120" s="276"/>
      <c r="M120" s="276"/>
      <c r="N120" s="276"/>
      <c r="O120" s="276"/>
      <c r="P120" s="276"/>
      <c r="Q120" s="276"/>
      <c r="R120" s="276"/>
      <c r="S120" s="276"/>
      <c r="T120" s="276"/>
      <c r="U120" s="276"/>
      <c r="V120" s="276"/>
    </row>
    <row r="121" spans="2:22">
      <c r="B121" s="283"/>
      <c r="C121" s="283"/>
      <c r="D121" s="283"/>
      <c r="E121" s="283"/>
      <c r="F121" s="283"/>
      <c r="G121" s="283"/>
      <c r="H121" s="276"/>
      <c r="I121" s="276"/>
      <c r="J121" s="276"/>
      <c r="K121" s="283"/>
      <c r="L121" s="276"/>
      <c r="M121" s="276"/>
      <c r="N121" s="276"/>
      <c r="O121" s="276"/>
      <c r="P121" s="276"/>
      <c r="Q121" s="276"/>
      <c r="R121" s="276"/>
      <c r="S121" s="276"/>
      <c r="T121" s="276"/>
      <c r="U121" s="276"/>
      <c r="V121" s="276"/>
    </row>
    <row r="122" spans="2:22">
      <c r="B122" s="283"/>
      <c r="C122" s="283"/>
      <c r="D122" s="283"/>
      <c r="E122" s="283"/>
      <c r="F122" s="283"/>
      <c r="G122" s="283"/>
      <c r="H122" s="276"/>
      <c r="I122" s="276"/>
      <c r="J122" s="276"/>
      <c r="K122" s="283"/>
      <c r="L122" s="276"/>
      <c r="M122" s="276"/>
      <c r="N122" s="276"/>
      <c r="O122" s="276"/>
      <c r="P122" s="276"/>
      <c r="Q122" s="276"/>
      <c r="R122" s="276"/>
      <c r="S122" s="276"/>
      <c r="T122" s="276"/>
      <c r="U122" s="276"/>
      <c r="V122" s="276"/>
    </row>
    <row r="123" spans="2:22">
      <c r="B123" s="283"/>
      <c r="C123" s="283"/>
      <c r="D123" s="283"/>
      <c r="E123" s="283"/>
      <c r="F123" s="283"/>
      <c r="G123" s="283"/>
      <c r="H123" s="276"/>
      <c r="I123" s="276"/>
      <c r="J123" s="276"/>
      <c r="K123" s="283"/>
      <c r="L123" s="276"/>
      <c r="M123" s="276"/>
      <c r="N123" s="276"/>
      <c r="O123" s="276"/>
      <c r="P123" s="276"/>
      <c r="Q123" s="276"/>
      <c r="R123" s="276"/>
      <c r="S123" s="276"/>
      <c r="T123" s="276"/>
      <c r="U123" s="276"/>
      <c r="V123" s="276"/>
    </row>
    <row r="124" spans="2:22">
      <c r="B124" s="283"/>
      <c r="C124" s="283"/>
      <c r="D124" s="283"/>
      <c r="E124" s="283"/>
      <c r="F124" s="283"/>
      <c r="G124" s="283"/>
      <c r="I124" s="276"/>
      <c r="J124" s="276"/>
      <c r="K124" s="283"/>
      <c r="L124" s="276"/>
      <c r="M124" s="276"/>
      <c r="N124" s="276"/>
      <c r="O124" s="276"/>
      <c r="P124" s="276"/>
      <c r="Q124" s="276"/>
      <c r="R124" s="276"/>
      <c r="S124" s="276"/>
      <c r="T124" s="276"/>
      <c r="U124" s="276"/>
      <c r="V124" s="276"/>
    </row>
    <row r="125" spans="2:22">
      <c r="B125" s="283"/>
      <c r="C125" s="283"/>
      <c r="D125" s="283"/>
      <c r="E125" s="283"/>
      <c r="F125" s="283"/>
      <c r="G125" s="283"/>
      <c r="H125" s="276"/>
      <c r="I125" s="276"/>
      <c r="J125" s="276"/>
      <c r="K125" s="283"/>
      <c r="L125" s="276"/>
      <c r="M125" s="276"/>
      <c r="N125" s="276"/>
      <c r="O125" s="276"/>
      <c r="P125" s="276"/>
      <c r="Q125" s="276"/>
      <c r="R125" s="276"/>
      <c r="S125" s="276"/>
      <c r="T125" s="276"/>
      <c r="U125" s="276"/>
      <c r="V125" s="276"/>
    </row>
    <row r="126" spans="2:22">
      <c r="H126" s="276"/>
      <c r="I126" s="276"/>
      <c r="J126" s="276"/>
      <c r="K126" s="283"/>
      <c r="L126" s="276"/>
      <c r="M126" s="276"/>
      <c r="N126" s="276"/>
      <c r="O126" s="276"/>
      <c r="P126" s="276"/>
      <c r="Q126" s="276"/>
      <c r="R126" s="276"/>
      <c r="S126" s="276"/>
      <c r="T126" s="276"/>
      <c r="U126" s="276"/>
      <c r="V126" s="276"/>
    </row>
    <row r="127" spans="2:22">
      <c r="H127" s="276"/>
      <c r="I127" s="276"/>
      <c r="J127" s="276"/>
      <c r="K127" s="283"/>
      <c r="L127" s="276"/>
      <c r="M127" s="276"/>
      <c r="N127" s="276"/>
      <c r="O127" s="276"/>
      <c r="P127" s="276"/>
      <c r="Q127" s="276"/>
      <c r="R127" s="276"/>
      <c r="S127" s="276"/>
      <c r="T127" s="276"/>
      <c r="U127" s="276"/>
      <c r="V127" s="276"/>
    </row>
    <row r="128" spans="2:22">
      <c r="H128" s="276"/>
      <c r="I128" s="276"/>
      <c r="J128" s="276"/>
      <c r="K128" s="283"/>
      <c r="L128" s="276"/>
      <c r="M128" s="276"/>
      <c r="N128" s="276"/>
      <c r="O128" s="276"/>
      <c r="P128" s="276"/>
      <c r="Q128" s="276"/>
      <c r="R128" s="276"/>
      <c r="S128" s="276"/>
      <c r="T128" s="276"/>
      <c r="U128" s="276"/>
      <c r="V128" s="276"/>
    </row>
    <row r="129" spans="8:22">
      <c r="H129" s="276"/>
      <c r="I129" s="276"/>
      <c r="J129" s="276"/>
      <c r="K129" s="283"/>
      <c r="L129" s="276"/>
      <c r="M129" s="276"/>
      <c r="N129" s="276"/>
      <c r="O129" s="276"/>
      <c r="P129" s="276"/>
      <c r="Q129" s="276"/>
      <c r="R129" s="276"/>
      <c r="S129" s="276"/>
      <c r="T129" s="276"/>
      <c r="U129" s="276"/>
      <c r="V129" s="276"/>
    </row>
    <row r="130" spans="8:22">
      <c r="H130" s="276"/>
      <c r="I130" s="276"/>
      <c r="J130" s="276"/>
      <c r="K130" s="283"/>
      <c r="L130" s="276"/>
      <c r="M130" s="276"/>
      <c r="N130" s="276"/>
      <c r="O130" s="276"/>
      <c r="P130" s="276"/>
      <c r="Q130" s="276"/>
      <c r="R130" s="276"/>
      <c r="S130" s="276"/>
      <c r="T130" s="276"/>
      <c r="U130" s="276"/>
      <c r="V130" s="276"/>
    </row>
    <row r="131" spans="8:22">
      <c r="H131" s="276"/>
      <c r="I131" s="276"/>
      <c r="J131" s="276"/>
      <c r="K131" s="283"/>
      <c r="L131" s="276"/>
      <c r="M131" s="276"/>
      <c r="N131" s="276"/>
      <c r="O131" s="276"/>
      <c r="P131" s="276"/>
      <c r="Q131" s="276"/>
      <c r="R131" s="276"/>
      <c r="S131" s="276"/>
      <c r="T131" s="276"/>
      <c r="U131" s="276"/>
      <c r="V131" s="276"/>
    </row>
    <row r="132" spans="8:22">
      <c r="H132" s="276"/>
      <c r="I132" s="276"/>
      <c r="J132" s="276"/>
      <c r="K132" s="283"/>
      <c r="L132" s="276"/>
      <c r="M132" s="276"/>
      <c r="N132" s="276"/>
      <c r="O132" s="276"/>
      <c r="P132" s="276"/>
      <c r="Q132" s="276"/>
      <c r="R132" s="276"/>
      <c r="S132" s="276"/>
      <c r="T132" s="276"/>
      <c r="U132" s="276"/>
      <c r="V132" s="276"/>
    </row>
    <row r="133" spans="8:22">
      <c r="H133" s="276"/>
      <c r="I133" s="276"/>
      <c r="J133" s="276"/>
      <c r="K133" s="283"/>
      <c r="L133" s="276"/>
      <c r="M133" s="276"/>
      <c r="N133" s="276"/>
      <c r="O133" s="276"/>
      <c r="P133" s="276"/>
      <c r="Q133" s="276"/>
      <c r="R133" s="276"/>
      <c r="S133" s="276"/>
      <c r="T133" s="276"/>
      <c r="U133" s="276"/>
      <c r="V133" s="276"/>
    </row>
    <row r="134" spans="8:22">
      <c r="H134" s="276"/>
      <c r="I134" s="276"/>
      <c r="J134" s="276"/>
      <c r="K134" s="283"/>
      <c r="L134" s="276"/>
      <c r="M134" s="276"/>
      <c r="N134" s="276"/>
      <c r="O134" s="276"/>
      <c r="P134" s="276"/>
      <c r="Q134" s="276"/>
      <c r="R134" s="276"/>
      <c r="S134" s="276"/>
      <c r="T134" s="276"/>
      <c r="U134" s="276"/>
      <c r="V134" s="276"/>
    </row>
    <row r="135" spans="8:22">
      <c r="H135" s="276"/>
      <c r="I135" s="276"/>
      <c r="J135" s="276"/>
      <c r="K135" s="283"/>
      <c r="L135" s="276"/>
      <c r="M135" s="276"/>
      <c r="N135" s="276"/>
      <c r="O135" s="276"/>
      <c r="P135" s="276"/>
      <c r="Q135" s="276"/>
      <c r="R135" s="276"/>
      <c r="S135" s="276"/>
      <c r="T135" s="276"/>
      <c r="U135" s="276"/>
      <c r="V135" s="276"/>
    </row>
    <row r="136" spans="8:22">
      <c r="H136" s="276"/>
      <c r="I136" s="276"/>
      <c r="J136" s="276"/>
      <c r="K136" s="283"/>
      <c r="L136" s="276"/>
      <c r="M136" s="276"/>
      <c r="N136" s="276"/>
      <c r="O136" s="276"/>
      <c r="P136" s="276"/>
      <c r="Q136" s="276"/>
      <c r="R136" s="276"/>
      <c r="S136" s="276"/>
      <c r="T136" s="276"/>
      <c r="U136" s="276"/>
      <c r="V136" s="276"/>
    </row>
    <row r="137" spans="8:22">
      <c r="H137" s="276"/>
      <c r="I137" s="276"/>
      <c r="J137" s="276"/>
      <c r="K137" s="283"/>
      <c r="L137" s="276"/>
      <c r="M137" s="276"/>
      <c r="N137" s="276"/>
      <c r="O137" s="276"/>
      <c r="P137" s="276"/>
      <c r="Q137" s="276"/>
      <c r="R137" s="276"/>
      <c r="S137" s="276"/>
      <c r="T137" s="276"/>
      <c r="U137" s="276"/>
      <c r="V137" s="276"/>
    </row>
    <row r="138" spans="8:22">
      <c r="H138" s="276"/>
      <c r="I138" s="276"/>
      <c r="J138" s="276"/>
      <c r="K138" s="283"/>
      <c r="L138" s="276"/>
      <c r="M138" s="276"/>
      <c r="N138" s="276"/>
      <c r="O138" s="276"/>
      <c r="P138" s="276"/>
      <c r="Q138" s="276"/>
      <c r="R138" s="276"/>
      <c r="S138" s="276"/>
      <c r="T138" s="276"/>
      <c r="U138" s="276"/>
      <c r="V138" s="276"/>
    </row>
    <row r="139" spans="8:22">
      <c r="H139" s="276"/>
      <c r="I139" s="276"/>
      <c r="J139" s="276"/>
      <c r="K139" s="283"/>
      <c r="L139" s="276"/>
      <c r="M139" s="276"/>
      <c r="N139" s="276"/>
      <c r="O139" s="276"/>
      <c r="P139" s="276"/>
      <c r="Q139" s="276"/>
      <c r="R139" s="276"/>
      <c r="S139" s="276"/>
      <c r="T139" s="276"/>
      <c r="U139" s="276"/>
      <c r="V139" s="276"/>
    </row>
    <row r="140" spans="8:22">
      <c r="H140" s="276"/>
      <c r="I140" s="276"/>
      <c r="J140" s="276"/>
      <c r="K140" s="283"/>
      <c r="L140" s="276"/>
      <c r="M140" s="276"/>
      <c r="N140" s="276"/>
      <c r="O140" s="276"/>
      <c r="P140" s="276"/>
      <c r="Q140" s="276"/>
      <c r="R140" s="276"/>
      <c r="S140" s="276"/>
      <c r="T140" s="276"/>
      <c r="U140" s="276"/>
      <c r="V140" s="276"/>
    </row>
    <row r="141" spans="8:22">
      <c r="H141" s="276"/>
      <c r="I141" s="276"/>
      <c r="J141" s="276"/>
      <c r="K141" s="283"/>
      <c r="L141" s="276"/>
      <c r="M141" s="276"/>
      <c r="N141" s="276"/>
      <c r="O141" s="276"/>
      <c r="P141" s="276"/>
      <c r="Q141" s="276"/>
      <c r="R141" s="276"/>
      <c r="S141" s="276"/>
      <c r="T141" s="276"/>
      <c r="U141" s="276"/>
      <c r="V141" s="276"/>
    </row>
    <row r="142" spans="8:22">
      <c r="H142" s="276"/>
      <c r="I142" s="276"/>
      <c r="J142" s="276"/>
      <c r="K142" s="283"/>
      <c r="L142" s="276"/>
      <c r="M142" s="276"/>
      <c r="N142" s="276"/>
      <c r="O142" s="276"/>
      <c r="P142" s="276"/>
      <c r="Q142" s="276"/>
      <c r="R142" s="276"/>
      <c r="S142" s="276"/>
      <c r="T142" s="276"/>
      <c r="U142" s="276"/>
      <c r="V142" s="276"/>
    </row>
    <row r="143" spans="8:22">
      <c r="H143" s="276"/>
      <c r="I143" s="276"/>
      <c r="J143" s="276"/>
      <c r="K143" s="283"/>
      <c r="L143" s="276"/>
      <c r="M143" s="276"/>
      <c r="N143" s="276"/>
      <c r="O143" s="276"/>
      <c r="P143" s="276"/>
      <c r="Q143" s="276"/>
      <c r="R143" s="276"/>
      <c r="S143" s="276"/>
      <c r="T143" s="276"/>
      <c r="U143" s="276"/>
      <c r="V143" s="276"/>
    </row>
    <row r="144" spans="8:22">
      <c r="H144" s="276"/>
      <c r="I144" s="276"/>
      <c r="J144" s="276"/>
      <c r="K144" s="283"/>
      <c r="L144" s="276"/>
      <c r="M144" s="276"/>
      <c r="N144" s="276"/>
      <c r="O144" s="276"/>
      <c r="P144" s="276"/>
      <c r="Q144" s="276"/>
      <c r="R144" s="276"/>
      <c r="S144" s="276"/>
      <c r="T144" s="276"/>
      <c r="U144" s="276"/>
      <c r="V144" s="276"/>
    </row>
    <row r="145" spans="8:22">
      <c r="H145" s="276"/>
      <c r="I145" s="276"/>
      <c r="J145" s="276"/>
      <c r="K145" s="283"/>
      <c r="L145" s="276"/>
      <c r="M145" s="276"/>
      <c r="N145" s="276"/>
      <c r="O145" s="276"/>
      <c r="P145" s="276"/>
      <c r="Q145" s="276"/>
      <c r="R145" s="276"/>
      <c r="S145" s="276"/>
      <c r="T145" s="276"/>
      <c r="U145" s="276"/>
      <c r="V145" s="276"/>
    </row>
    <row r="146" spans="8:22">
      <c r="H146" s="276"/>
      <c r="I146" s="276"/>
      <c r="J146" s="276"/>
      <c r="K146" s="283"/>
      <c r="L146" s="276"/>
      <c r="M146" s="276"/>
      <c r="N146" s="276"/>
      <c r="O146" s="276"/>
      <c r="P146" s="276"/>
      <c r="Q146" s="276"/>
      <c r="R146" s="276"/>
      <c r="S146" s="276"/>
      <c r="T146" s="276"/>
      <c r="U146" s="276"/>
      <c r="V146" s="276"/>
    </row>
    <row r="147" spans="8:22">
      <c r="H147" s="276"/>
      <c r="I147" s="276"/>
      <c r="J147" s="276"/>
      <c r="K147" s="283"/>
      <c r="L147" s="276"/>
      <c r="M147" s="276"/>
      <c r="N147" s="276"/>
      <c r="O147" s="276"/>
      <c r="P147" s="276"/>
      <c r="Q147" s="276"/>
      <c r="R147" s="276"/>
      <c r="S147" s="276"/>
      <c r="T147" s="276"/>
      <c r="U147" s="276"/>
      <c r="V147" s="276"/>
    </row>
    <row r="148" spans="8:22">
      <c r="H148" s="276"/>
      <c r="I148" s="276"/>
      <c r="J148" s="276"/>
      <c r="K148" s="283"/>
      <c r="L148" s="276"/>
      <c r="M148" s="276"/>
      <c r="N148" s="276"/>
      <c r="O148" s="276"/>
      <c r="P148" s="276"/>
      <c r="Q148" s="276"/>
      <c r="R148" s="276"/>
      <c r="S148" s="276"/>
      <c r="T148" s="276"/>
      <c r="U148" s="276"/>
      <c r="V148" s="276"/>
    </row>
    <row r="149" spans="8:22">
      <c r="H149" s="276"/>
      <c r="I149" s="276"/>
      <c r="J149" s="276"/>
      <c r="K149" s="283"/>
      <c r="L149" s="276"/>
      <c r="M149" s="276"/>
      <c r="N149" s="276"/>
      <c r="O149" s="276"/>
      <c r="P149" s="276"/>
      <c r="Q149" s="276"/>
      <c r="R149" s="276"/>
      <c r="S149" s="276"/>
      <c r="T149" s="276"/>
      <c r="U149" s="276"/>
      <c r="V149" s="276"/>
    </row>
    <row r="150" spans="8:22">
      <c r="H150" s="276"/>
      <c r="I150" s="276"/>
      <c r="J150" s="276"/>
      <c r="K150" s="283"/>
      <c r="L150" s="276"/>
      <c r="M150" s="276"/>
      <c r="N150" s="276"/>
      <c r="O150" s="276"/>
      <c r="P150" s="276"/>
      <c r="Q150" s="276"/>
      <c r="R150" s="276"/>
      <c r="S150" s="276"/>
      <c r="T150" s="276"/>
      <c r="U150" s="276"/>
      <c r="V150" s="276"/>
    </row>
    <row r="151" spans="8:22">
      <c r="H151" s="276"/>
      <c r="I151" s="276"/>
      <c r="J151" s="276"/>
      <c r="K151" s="283"/>
      <c r="L151" s="276"/>
      <c r="M151" s="276"/>
      <c r="N151" s="276"/>
      <c r="O151" s="276"/>
      <c r="P151" s="276"/>
      <c r="Q151" s="276"/>
      <c r="R151" s="276"/>
      <c r="S151" s="276"/>
      <c r="T151" s="276"/>
      <c r="U151" s="276"/>
      <c r="V151" s="276"/>
    </row>
    <row r="152" spans="8:22">
      <c r="H152" s="276"/>
      <c r="I152" s="276"/>
      <c r="J152" s="276"/>
      <c r="K152" s="283"/>
      <c r="L152" s="276"/>
      <c r="M152" s="276"/>
      <c r="N152" s="276"/>
      <c r="O152" s="276"/>
      <c r="P152" s="276"/>
      <c r="Q152" s="276"/>
      <c r="R152" s="276"/>
      <c r="S152" s="276"/>
      <c r="T152" s="276"/>
      <c r="U152" s="276"/>
      <c r="V152" s="276"/>
    </row>
    <row r="153" spans="8:22">
      <c r="H153" s="276"/>
      <c r="I153" s="276"/>
      <c r="J153" s="276"/>
      <c r="K153" s="283"/>
      <c r="L153" s="276"/>
      <c r="M153" s="276"/>
      <c r="N153" s="276"/>
      <c r="O153" s="276"/>
      <c r="P153" s="276"/>
      <c r="Q153" s="276"/>
      <c r="R153" s="276"/>
      <c r="S153" s="276"/>
      <c r="T153" s="276"/>
      <c r="U153" s="276"/>
      <c r="V153" s="276"/>
    </row>
    <row r="154" spans="8:22">
      <c r="H154" s="276"/>
      <c r="I154" s="276"/>
      <c r="J154" s="276"/>
      <c r="K154" s="283"/>
      <c r="L154" s="276"/>
      <c r="M154" s="276"/>
      <c r="N154" s="276"/>
      <c r="O154" s="276"/>
      <c r="P154" s="276"/>
      <c r="Q154" s="276"/>
      <c r="R154" s="276"/>
      <c r="S154" s="276"/>
      <c r="T154" s="276"/>
      <c r="U154" s="276"/>
      <c r="V154" s="276"/>
    </row>
    <row r="155" spans="8:22">
      <c r="H155" s="276"/>
      <c r="I155" s="276"/>
      <c r="J155" s="276"/>
      <c r="K155" s="283"/>
      <c r="L155" s="276"/>
      <c r="M155" s="276"/>
      <c r="N155" s="276"/>
      <c r="O155" s="276"/>
      <c r="P155" s="276"/>
      <c r="Q155" s="276"/>
      <c r="R155" s="276"/>
      <c r="S155" s="276"/>
      <c r="T155" s="276"/>
      <c r="U155" s="276"/>
      <c r="V155" s="276"/>
    </row>
    <row r="156" spans="8:22">
      <c r="H156" s="276"/>
      <c r="I156" s="276"/>
      <c r="J156" s="276"/>
      <c r="K156" s="283"/>
      <c r="L156" s="276"/>
      <c r="M156" s="276"/>
      <c r="N156" s="276"/>
      <c r="O156" s="276"/>
      <c r="P156" s="276"/>
      <c r="Q156" s="276"/>
      <c r="R156" s="276"/>
      <c r="S156" s="276"/>
      <c r="T156" s="276"/>
      <c r="U156" s="276"/>
      <c r="V156" s="276"/>
    </row>
    <row r="157" spans="8:22">
      <c r="H157" s="276"/>
      <c r="I157" s="276"/>
      <c r="J157" s="276"/>
      <c r="K157" s="283"/>
      <c r="L157" s="276"/>
      <c r="M157" s="276"/>
      <c r="N157" s="276"/>
      <c r="O157" s="276"/>
      <c r="P157" s="276"/>
      <c r="Q157" s="276"/>
      <c r="R157" s="276"/>
      <c r="S157" s="276"/>
      <c r="T157" s="276"/>
      <c r="U157" s="276"/>
      <c r="V157" s="276"/>
    </row>
    <row r="158" spans="8:22">
      <c r="H158" s="276"/>
      <c r="I158" s="276"/>
      <c r="J158" s="276"/>
      <c r="K158" s="283"/>
      <c r="L158" s="276"/>
      <c r="M158" s="276"/>
      <c r="N158" s="276"/>
      <c r="O158" s="276"/>
      <c r="P158" s="276"/>
      <c r="Q158" s="276"/>
      <c r="R158" s="276"/>
      <c r="S158" s="276"/>
      <c r="T158" s="276"/>
      <c r="U158" s="276"/>
      <c r="V158" s="276"/>
    </row>
    <row r="159" spans="8:22">
      <c r="H159" s="276"/>
      <c r="I159" s="276"/>
      <c r="J159" s="276"/>
      <c r="K159" s="283"/>
      <c r="L159" s="276"/>
      <c r="M159" s="276"/>
      <c r="N159" s="276"/>
      <c r="O159" s="276"/>
      <c r="P159" s="276"/>
      <c r="Q159" s="276"/>
      <c r="R159" s="276"/>
      <c r="S159" s="276"/>
      <c r="T159" s="276"/>
      <c r="U159" s="276"/>
      <c r="V159" s="276"/>
    </row>
    <row r="160" spans="8:22">
      <c r="H160" s="276"/>
      <c r="I160" s="276"/>
      <c r="J160" s="276"/>
      <c r="K160" s="283"/>
      <c r="L160" s="276"/>
      <c r="M160" s="276"/>
      <c r="N160" s="276"/>
      <c r="O160" s="276"/>
      <c r="P160" s="276"/>
      <c r="Q160" s="276"/>
      <c r="R160" s="276"/>
      <c r="S160" s="276"/>
      <c r="T160" s="276"/>
      <c r="U160" s="276"/>
      <c r="V160" s="276"/>
    </row>
    <row r="161" spans="8:22">
      <c r="H161" s="276"/>
      <c r="I161" s="276"/>
      <c r="J161" s="276"/>
      <c r="K161" s="283"/>
      <c r="L161" s="276"/>
      <c r="M161" s="276"/>
      <c r="N161" s="276"/>
      <c r="O161" s="276"/>
      <c r="P161" s="276"/>
      <c r="Q161" s="276"/>
      <c r="R161" s="276"/>
      <c r="S161" s="276"/>
      <c r="T161" s="276"/>
      <c r="U161" s="276"/>
      <c r="V161" s="276"/>
    </row>
    <row r="162" spans="8:22">
      <c r="H162" s="276"/>
      <c r="I162" s="276"/>
      <c r="J162" s="276"/>
      <c r="K162" s="283"/>
      <c r="L162" s="276"/>
      <c r="M162" s="276"/>
      <c r="N162" s="276"/>
      <c r="O162" s="276"/>
      <c r="P162" s="276"/>
      <c r="Q162" s="276"/>
      <c r="R162" s="276"/>
      <c r="S162" s="276"/>
      <c r="T162" s="276"/>
      <c r="U162" s="276"/>
      <c r="V162" s="276"/>
    </row>
    <row r="163" spans="8:22">
      <c r="H163" s="276"/>
      <c r="I163" s="276"/>
      <c r="J163" s="276"/>
      <c r="K163" s="283"/>
      <c r="L163" s="276"/>
      <c r="M163" s="276"/>
      <c r="N163" s="276"/>
      <c r="O163" s="276"/>
      <c r="P163" s="276"/>
      <c r="Q163" s="276"/>
      <c r="R163" s="276"/>
      <c r="S163" s="276"/>
      <c r="T163" s="276"/>
      <c r="U163" s="276"/>
      <c r="V163" s="276"/>
    </row>
    <row r="164" spans="8:22">
      <c r="H164" s="276"/>
      <c r="I164" s="276"/>
      <c r="J164" s="276"/>
      <c r="K164" s="283"/>
      <c r="L164" s="276"/>
      <c r="M164" s="276"/>
      <c r="N164" s="276"/>
      <c r="O164" s="276"/>
      <c r="P164" s="276"/>
      <c r="Q164" s="276"/>
      <c r="R164" s="276"/>
      <c r="S164" s="276"/>
      <c r="T164" s="276"/>
      <c r="U164" s="276"/>
      <c r="V164" s="276"/>
    </row>
    <row r="165" spans="8:22">
      <c r="H165" s="276"/>
      <c r="I165" s="276"/>
      <c r="J165" s="276"/>
      <c r="K165" s="283"/>
      <c r="L165" s="276"/>
      <c r="M165" s="276"/>
      <c r="N165" s="276"/>
      <c r="O165" s="276"/>
      <c r="P165" s="276"/>
      <c r="Q165" s="276"/>
      <c r="R165" s="276"/>
      <c r="S165" s="276"/>
      <c r="T165" s="276"/>
      <c r="U165" s="276"/>
      <c r="V165" s="276"/>
    </row>
    <row r="166" spans="8:22">
      <c r="H166" s="276"/>
      <c r="I166" s="276"/>
      <c r="J166" s="276"/>
      <c r="K166" s="283"/>
      <c r="L166" s="276"/>
      <c r="M166" s="276"/>
      <c r="N166" s="276"/>
      <c r="O166" s="276"/>
      <c r="P166" s="276"/>
      <c r="Q166" s="276"/>
      <c r="R166" s="276"/>
      <c r="S166" s="276"/>
      <c r="T166" s="276"/>
      <c r="U166" s="276"/>
      <c r="V166" s="276"/>
    </row>
    <row r="167" spans="8:22">
      <c r="H167" s="276"/>
      <c r="I167" s="276"/>
      <c r="J167" s="276"/>
      <c r="K167" s="283"/>
      <c r="L167" s="276"/>
      <c r="M167" s="276"/>
      <c r="N167" s="276"/>
      <c r="O167" s="276"/>
      <c r="P167" s="276"/>
      <c r="Q167" s="276"/>
      <c r="R167" s="276"/>
      <c r="S167" s="276"/>
      <c r="T167" s="276"/>
      <c r="U167" s="276"/>
      <c r="V167" s="276"/>
    </row>
    <row r="168" spans="8:22">
      <c r="H168" s="276"/>
      <c r="I168" s="276"/>
      <c r="J168" s="276"/>
      <c r="K168" s="283"/>
      <c r="L168" s="276"/>
      <c r="M168" s="276"/>
      <c r="N168" s="276"/>
      <c r="O168" s="276"/>
      <c r="P168" s="276"/>
      <c r="Q168" s="276"/>
      <c r="R168" s="276"/>
      <c r="S168" s="276"/>
      <c r="T168" s="276"/>
      <c r="U168" s="276"/>
      <c r="V168" s="276"/>
    </row>
    <row r="169" spans="8:22">
      <c r="H169" s="276"/>
      <c r="I169" s="276"/>
      <c r="J169" s="276"/>
      <c r="K169" s="283"/>
      <c r="L169" s="276"/>
      <c r="M169" s="276"/>
      <c r="N169" s="276"/>
      <c r="O169" s="276"/>
      <c r="P169" s="276"/>
      <c r="Q169" s="276"/>
      <c r="R169" s="276"/>
      <c r="S169" s="276"/>
      <c r="T169" s="276"/>
      <c r="U169" s="276"/>
      <c r="V169" s="276"/>
    </row>
    <row r="170" spans="8:22">
      <c r="H170" s="276"/>
      <c r="I170" s="276"/>
      <c r="J170" s="276"/>
      <c r="K170" s="283"/>
      <c r="L170" s="276"/>
      <c r="M170" s="276"/>
      <c r="N170" s="276"/>
      <c r="O170" s="276"/>
      <c r="P170" s="276"/>
      <c r="Q170" s="276"/>
      <c r="R170" s="276"/>
      <c r="S170" s="276"/>
      <c r="T170" s="276"/>
      <c r="U170" s="276"/>
      <c r="V170" s="276"/>
    </row>
    <row r="171" spans="8:22">
      <c r="H171" s="276"/>
      <c r="I171" s="276"/>
      <c r="J171" s="276"/>
      <c r="K171" s="283"/>
      <c r="L171" s="276"/>
      <c r="M171" s="276"/>
      <c r="N171" s="276"/>
      <c r="O171" s="276"/>
      <c r="P171" s="276"/>
      <c r="Q171" s="276"/>
      <c r="R171" s="276"/>
      <c r="S171" s="276"/>
      <c r="T171" s="276"/>
      <c r="U171" s="276"/>
      <c r="V171" s="276"/>
    </row>
    <row r="172" spans="8:22">
      <c r="H172" s="276"/>
      <c r="I172" s="276"/>
      <c r="J172" s="276"/>
      <c r="K172" s="283"/>
      <c r="L172" s="276"/>
      <c r="M172" s="276"/>
      <c r="N172" s="276"/>
      <c r="O172" s="276"/>
      <c r="P172" s="276"/>
      <c r="Q172" s="276"/>
      <c r="R172" s="276"/>
      <c r="S172" s="276"/>
      <c r="T172" s="276"/>
      <c r="U172" s="276"/>
      <c r="V172" s="276"/>
    </row>
    <row r="173" spans="8:22">
      <c r="H173" s="276"/>
      <c r="I173" s="276"/>
      <c r="J173" s="276"/>
      <c r="K173" s="283"/>
      <c r="L173" s="276"/>
      <c r="M173" s="276"/>
      <c r="N173" s="276"/>
      <c r="O173" s="276"/>
      <c r="P173" s="276"/>
      <c r="Q173" s="276"/>
      <c r="R173" s="276"/>
      <c r="S173" s="276"/>
      <c r="T173" s="276"/>
      <c r="U173" s="276"/>
      <c r="V173" s="276"/>
    </row>
    <row r="174" spans="8:22">
      <c r="H174" s="276"/>
      <c r="I174" s="276"/>
      <c r="J174" s="276"/>
      <c r="K174" s="283"/>
      <c r="L174" s="276"/>
      <c r="M174" s="276"/>
      <c r="N174" s="276"/>
      <c r="O174" s="276"/>
      <c r="P174" s="276"/>
      <c r="Q174" s="276"/>
      <c r="R174" s="276"/>
      <c r="S174" s="276"/>
      <c r="T174" s="276"/>
      <c r="U174" s="276"/>
      <c r="V174" s="276"/>
    </row>
    <row r="175" spans="8:22">
      <c r="H175" s="276"/>
      <c r="I175" s="276"/>
      <c r="J175" s="276"/>
      <c r="K175" s="283"/>
      <c r="L175" s="276"/>
      <c r="M175" s="276"/>
      <c r="N175" s="276"/>
      <c r="O175" s="276"/>
      <c r="P175" s="276"/>
      <c r="Q175" s="276"/>
      <c r="R175" s="276"/>
      <c r="S175" s="276"/>
      <c r="T175" s="276"/>
      <c r="U175" s="276"/>
      <c r="V175" s="276"/>
    </row>
    <row r="176" spans="8:22">
      <c r="H176" s="276"/>
      <c r="I176" s="276"/>
      <c r="J176" s="276"/>
      <c r="K176" s="283"/>
      <c r="L176" s="276"/>
      <c r="M176" s="276"/>
      <c r="N176" s="276"/>
      <c r="O176" s="276"/>
      <c r="P176" s="276"/>
      <c r="Q176" s="276"/>
      <c r="R176" s="276"/>
      <c r="S176" s="276"/>
      <c r="T176" s="276"/>
      <c r="U176" s="276"/>
      <c r="V176" s="276"/>
    </row>
    <row r="177" spans="8:22">
      <c r="H177" s="276"/>
      <c r="I177" s="276"/>
      <c r="J177" s="276"/>
      <c r="K177" s="283"/>
      <c r="L177" s="276"/>
      <c r="M177" s="276"/>
      <c r="N177" s="276"/>
      <c r="O177" s="276"/>
      <c r="P177" s="276"/>
      <c r="Q177" s="276"/>
      <c r="R177" s="276"/>
      <c r="S177" s="276"/>
      <c r="T177" s="276"/>
      <c r="U177" s="276"/>
      <c r="V177" s="276"/>
    </row>
    <row r="178" spans="8:22">
      <c r="H178" s="276"/>
      <c r="I178" s="276"/>
      <c r="J178" s="276"/>
      <c r="K178" s="283"/>
      <c r="L178" s="276"/>
      <c r="M178" s="276"/>
      <c r="N178" s="276"/>
      <c r="O178" s="276"/>
      <c r="P178" s="276"/>
      <c r="Q178" s="276"/>
      <c r="R178" s="276"/>
      <c r="S178" s="276"/>
      <c r="T178" s="276"/>
      <c r="U178" s="276"/>
      <c r="V178" s="276"/>
    </row>
    <row r="179" spans="8:22">
      <c r="H179" s="276"/>
      <c r="I179" s="276"/>
      <c r="J179" s="276"/>
      <c r="K179" s="283"/>
      <c r="L179" s="276"/>
      <c r="M179" s="276"/>
      <c r="N179" s="276"/>
      <c r="O179" s="276"/>
      <c r="P179" s="276"/>
      <c r="Q179" s="276"/>
      <c r="R179" s="276"/>
      <c r="S179" s="276"/>
      <c r="T179" s="276"/>
      <c r="U179" s="276"/>
      <c r="V179" s="276"/>
    </row>
    <row r="180" spans="8:22">
      <c r="H180" s="276"/>
      <c r="I180" s="276"/>
      <c r="J180" s="276"/>
      <c r="K180" s="283"/>
      <c r="L180" s="276"/>
      <c r="M180" s="276"/>
      <c r="N180" s="276"/>
      <c r="O180" s="276"/>
      <c r="P180" s="276"/>
      <c r="Q180" s="276"/>
      <c r="R180" s="276"/>
      <c r="S180" s="276"/>
      <c r="T180" s="276"/>
      <c r="U180" s="276"/>
      <c r="V180" s="276"/>
    </row>
    <row r="181" spans="8:22">
      <c r="H181" s="276"/>
      <c r="I181" s="276"/>
      <c r="J181" s="276"/>
      <c r="K181" s="283"/>
      <c r="L181" s="276"/>
      <c r="M181" s="276"/>
      <c r="N181" s="276"/>
      <c r="O181" s="276"/>
      <c r="P181" s="276"/>
      <c r="Q181" s="276"/>
      <c r="R181" s="276"/>
      <c r="S181" s="276"/>
      <c r="T181" s="276"/>
      <c r="U181" s="276"/>
      <c r="V181" s="276"/>
    </row>
    <row r="182" spans="8:22">
      <c r="H182" s="276"/>
      <c r="I182" s="276"/>
      <c r="J182" s="276"/>
      <c r="K182" s="283"/>
      <c r="L182" s="276"/>
      <c r="M182" s="276"/>
      <c r="N182" s="276"/>
      <c r="O182" s="276"/>
      <c r="P182" s="276"/>
      <c r="Q182" s="276"/>
      <c r="R182" s="276"/>
      <c r="S182" s="276"/>
      <c r="T182" s="276"/>
      <c r="U182" s="276"/>
      <c r="V182" s="276"/>
    </row>
    <row r="183" spans="8:22">
      <c r="H183" s="276"/>
      <c r="I183" s="276"/>
      <c r="J183" s="276"/>
      <c r="K183" s="283"/>
      <c r="L183" s="276"/>
      <c r="M183" s="276"/>
      <c r="N183" s="276"/>
      <c r="O183" s="276"/>
      <c r="P183" s="276"/>
      <c r="Q183" s="276"/>
      <c r="R183" s="276"/>
      <c r="S183" s="276"/>
      <c r="T183" s="276"/>
      <c r="U183" s="276"/>
      <c r="V183" s="276"/>
    </row>
    <row r="184" spans="8:22">
      <c r="H184" s="276"/>
      <c r="I184" s="276"/>
      <c r="J184" s="276"/>
      <c r="K184" s="283"/>
      <c r="L184" s="276"/>
      <c r="M184" s="276"/>
      <c r="N184" s="276"/>
      <c r="O184" s="276"/>
      <c r="P184" s="276"/>
      <c r="Q184" s="276"/>
      <c r="R184" s="276"/>
      <c r="S184" s="276"/>
      <c r="T184" s="276"/>
      <c r="U184" s="276"/>
      <c r="V184" s="276"/>
    </row>
    <row r="185" spans="8:22">
      <c r="H185" s="276"/>
      <c r="I185" s="276"/>
      <c r="J185" s="276"/>
      <c r="K185" s="283"/>
      <c r="L185" s="276"/>
      <c r="M185" s="276"/>
      <c r="N185" s="276"/>
      <c r="O185" s="276"/>
      <c r="P185" s="276"/>
      <c r="Q185" s="276"/>
      <c r="R185" s="276"/>
      <c r="S185" s="276"/>
      <c r="T185" s="276"/>
      <c r="U185" s="276"/>
      <c r="V185" s="276"/>
    </row>
    <row r="186" spans="8:22">
      <c r="H186" s="276"/>
      <c r="I186" s="276"/>
      <c r="J186" s="276"/>
      <c r="K186" s="283"/>
      <c r="L186" s="276"/>
      <c r="M186" s="276"/>
      <c r="N186" s="276"/>
      <c r="O186" s="276"/>
      <c r="P186" s="276"/>
      <c r="Q186" s="276"/>
      <c r="R186" s="276"/>
      <c r="S186" s="276"/>
      <c r="T186" s="276"/>
      <c r="U186" s="276"/>
      <c r="V186" s="276"/>
    </row>
    <row r="187" spans="8:22">
      <c r="H187" s="276"/>
      <c r="I187" s="276"/>
      <c r="J187" s="276"/>
      <c r="K187" s="283"/>
      <c r="L187" s="276"/>
      <c r="M187" s="276"/>
      <c r="N187" s="276"/>
      <c r="O187" s="276"/>
      <c r="P187" s="276"/>
      <c r="Q187" s="276"/>
      <c r="R187" s="276"/>
      <c r="S187" s="276"/>
      <c r="T187" s="276"/>
      <c r="U187" s="276"/>
      <c r="V187" s="276"/>
    </row>
    <row r="188" spans="8:22">
      <c r="H188" s="276"/>
      <c r="I188" s="276"/>
      <c r="J188" s="276"/>
      <c r="K188" s="283"/>
      <c r="L188" s="276"/>
      <c r="M188" s="276"/>
      <c r="N188" s="276"/>
      <c r="O188" s="276"/>
      <c r="P188" s="276"/>
      <c r="Q188" s="276"/>
      <c r="R188" s="276"/>
      <c r="S188" s="276"/>
      <c r="T188" s="276"/>
      <c r="U188" s="276"/>
      <c r="V188" s="276"/>
    </row>
    <row r="189" spans="8:22">
      <c r="H189" s="276"/>
      <c r="I189" s="276"/>
      <c r="J189" s="276"/>
      <c r="K189" s="283"/>
      <c r="L189" s="276"/>
      <c r="M189" s="276"/>
      <c r="N189" s="276"/>
      <c r="O189" s="276"/>
      <c r="P189" s="276"/>
      <c r="Q189" s="276"/>
      <c r="R189" s="276"/>
      <c r="S189" s="276"/>
      <c r="T189" s="276"/>
      <c r="U189" s="276"/>
      <c r="V189" s="276"/>
    </row>
    <row r="190" spans="8:22">
      <c r="H190" s="276"/>
      <c r="I190" s="276"/>
      <c r="J190" s="276"/>
      <c r="K190" s="283"/>
      <c r="L190" s="276"/>
      <c r="M190" s="276"/>
      <c r="N190" s="276"/>
      <c r="O190" s="276"/>
      <c r="P190" s="276"/>
      <c r="Q190" s="276"/>
      <c r="R190" s="276"/>
      <c r="S190" s="276"/>
      <c r="T190" s="276"/>
      <c r="U190" s="276"/>
      <c r="V190" s="276"/>
    </row>
    <row r="191" spans="8:22">
      <c r="H191" s="276"/>
      <c r="I191" s="276"/>
      <c r="J191" s="276"/>
      <c r="K191" s="283"/>
      <c r="L191" s="276"/>
      <c r="M191" s="276"/>
      <c r="N191" s="276"/>
      <c r="O191" s="276"/>
      <c r="P191" s="276"/>
      <c r="Q191" s="276"/>
      <c r="R191" s="276"/>
      <c r="S191" s="276"/>
      <c r="T191" s="276"/>
      <c r="U191" s="276"/>
      <c r="V191" s="276"/>
    </row>
    <row r="192" spans="8:22">
      <c r="H192" s="276"/>
      <c r="I192" s="276"/>
      <c r="J192" s="276"/>
      <c r="K192" s="283"/>
      <c r="L192" s="276"/>
      <c r="M192" s="276"/>
      <c r="N192" s="276"/>
      <c r="O192" s="276"/>
      <c r="P192" s="276"/>
      <c r="Q192" s="276"/>
      <c r="R192" s="276"/>
      <c r="S192" s="276"/>
      <c r="T192" s="276"/>
      <c r="U192" s="276"/>
      <c r="V192" s="276"/>
    </row>
    <row r="193" spans="8:22">
      <c r="H193" s="276"/>
      <c r="I193" s="276"/>
      <c r="J193" s="276"/>
      <c r="K193" s="283"/>
      <c r="L193" s="276"/>
      <c r="M193" s="276"/>
      <c r="N193" s="276"/>
      <c r="O193" s="276"/>
      <c r="P193" s="276"/>
      <c r="Q193" s="276"/>
      <c r="R193" s="276"/>
      <c r="S193" s="276"/>
      <c r="T193" s="276"/>
      <c r="U193" s="276"/>
      <c r="V193" s="276"/>
    </row>
    <row r="194" spans="8:22">
      <c r="H194" s="276"/>
      <c r="I194" s="276"/>
      <c r="J194" s="276"/>
      <c r="K194" s="283"/>
      <c r="L194" s="276"/>
      <c r="M194" s="276"/>
      <c r="N194" s="276"/>
      <c r="O194" s="276"/>
      <c r="P194" s="276"/>
      <c r="Q194" s="276"/>
      <c r="R194" s="276"/>
      <c r="S194" s="276"/>
      <c r="T194" s="276"/>
      <c r="U194" s="276"/>
      <c r="V194" s="276"/>
    </row>
    <row r="195" spans="8:22">
      <c r="H195" s="276"/>
      <c r="I195" s="276"/>
      <c r="J195" s="276"/>
      <c r="K195" s="283"/>
      <c r="L195" s="276"/>
      <c r="M195" s="276"/>
      <c r="N195" s="276"/>
      <c r="O195" s="276"/>
      <c r="P195" s="276"/>
      <c r="Q195" s="276"/>
      <c r="R195" s="276"/>
      <c r="S195" s="276"/>
      <c r="T195" s="276"/>
      <c r="U195" s="276"/>
      <c r="V195" s="276"/>
    </row>
    <row r="196" spans="8:22">
      <c r="H196" s="276"/>
      <c r="I196" s="276"/>
      <c r="J196" s="276"/>
      <c r="K196" s="283"/>
      <c r="L196" s="276"/>
      <c r="M196" s="276"/>
      <c r="N196" s="276"/>
      <c r="O196" s="276"/>
      <c r="P196" s="276"/>
      <c r="Q196" s="276"/>
      <c r="R196" s="276"/>
      <c r="S196" s="276"/>
      <c r="T196" s="276"/>
      <c r="U196" s="276"/>
      <c r="V196" s="276"/>
    </row>
    <row r="197" spans="8:22">
      <c r="H197" s="276"/>
      <c r="I197" s="276"/>
      <c r="J197" s="276"/>
      <c r="K197" s="283"/>
      <c r="L197" s="276"/>
      <c r="M197" s="276"/>
      <c r="N197" s="276"/>
      <c r="O197" s="276"/>
      <c r="P197" s="276"/>
      <c r="Q197" s="276"/>
      <c r="R197" s="276"/>
      <c r="S197" s="276"/>
      <c r="T197" s="276"/>
      <c r="U197" s="276"/>
      <c r="V197" s="276"/>
    </row>
    <row r="198" spans="8:22">
      <c r="H198" s="276"/>
      <c r="I198" s="276"/>
      <c r="J198" s="276"/>
      <c r="K198" s="283"/>
      <c r="L198" s="276"/>
      <c r="M198" s="276"/>
      <c r="N198" s="276"/>
      <c r="O198" s="276"/>
      <c r="P198" s="276"/>
      <c r="Q198" s="276"/>
      <c r="R198" s="276"/>
      <c r="S198" s="276"/>
      <c r="T198" s="276"/>
      <c r="U198" s="276"/>
      <c r="V198" s="276"/>
    </row>
    <row r="199" spans="8:22">
      <c r="H199" s="276"/>
      <c r="I199" s="276"/>
      <c r="J199" s="276"/>
      <c r="K199" s="283"/>
      <c r="L199" s="276"/>
      <c r="M199" s="276"/>
      <c r="N199" s="276"/>
      <c r="O199" s="276"/>
      <c r="P199" s="276"/>
      <c r="Q199" s="276"/>
      <c r="R199" s="276"/>
      <c r="S199" s="276"/>
      <c r="T199" s="276"/>
      <c r="U199" s="276"/>
      <c r="V199" s="276"/>
    </row>
    <row r="200" spans="8:22">
      <c r="H200" s="276"/>
      <c r="I200" s="276"/>
      <c r="J200" s="276"/>
      <c r="K200" s="283"/>
      <c r="L200" s="276"/>
      <c r="M200" s="276"/>
      <c r="N200" s="276"/>
      <c r="O200" s="276"/>
      <c r="P200" s="276"/>
      <c r="Q200" s="276"/>
      <c r="R200" s="276"/>
      <c r="S200" s="276"/>
      <c r="T200" s="276"/>
      <c r="U200" s="276"/>
      <c r="V200" s="276"/>
    </row>
    <row r="201" spans="8:22">
      <c r="H201" s="276"/>
      <c r="I201" s="276"/>
      <c r="J201" s="276"/>
      <c r="K201" s="283"/>
      <c r="L201" s="276"/>
      <c r="M201" s="276"/>
      <c r="N201" s="276"/>
      <c r="O201" s="276"/>
      <c r="P201" s="276"/>
      <c r="Q201" s="276"/>
      <c r="R201" s="276"/>
      <c r="S201" s="276"/>
      <c r="T201" s="276"/>
      <c r="U201" s="276"/>
      <c r="V201" s="276"/>
    </row>
    <row r="202" spans="8:22">
      <c r="H202" s="276"/>
      <c r="I202" s="276"/>
      <c r="J202" s="276"/>
      <c r="K202" s="283"/>
      <c r="L202" s="276"/>
      <c r="M202" s="276"/>
      <c r="N202" s="276"/>
      <c r="O202" s="276"/>
      <c r="P202" s="276"/>
      <c r="Q202" s="276"/>
      <c r="R202" s="276"/>
      <c r="S202" s="276"/>
      <c r="T202" s="276"/>
      <c r="U202" s="276"/>
      <c r="V202" s="276"/>
    </row>
    <row r="203" spans="8:22">
      <c r="H203" s="276"/>
      <c r="I203" s="276"/>
      <c r="J203" s="276"/>
      <c r="K203" s="283"/>
      <c r="L203" s="276"/>
      <c r="M203" s="276"/>
      <c r="N203" s="276"/>
      <c r="O203" s="276"/>
      <c r="P203" s="276"/>
      <c r="Q203" s="276"/>
      <c r="R203" s="276"/>
      <c r="S203" s="276"/>
      <c r="T203" s="276"/>
      <c r="U203" s="276"/>
      <c r="V203" s="276"/>
    </row>
    <row r="204" spans="8:22">
      <c r="H204" s="276"/>
      <c r="I204" s="276"/>
      <c r="J204" s="276"/>
      <c r="K204" s="283"/>
      <c r="L204" s="276"/>
      <c r="M204" s="276"/>
      <c r="N204" s="276"/>
      <c r="O204" s="276"/>
      <c r="P204" s="276"/>
      <c r="Q204" s="276"/>
      <c r="R204" s="276"/>
      <c r="S204" s="276"/>
      <c r="T204" s="276"/>
      <c r="U204" s="276"/>
      <c r="V204" s="276"/>
    </row>
    <row r="205" spans="8:22">
      <c r="H205" s="276"/>
      <c r="I205" s="276"/>
      <c r="J205" s="276"/>
      <c r="K205" s="283"/>
      <c r="L205" s="276"/>
      <c r="M205" s="276"/>
      <c r="N205" s="276"/>
      <c r="O205" s="276"/>
      <c r="P205" s="276"/>
      <c r="Q205" s="276"/>
      <c r="R205" s="276"/>
      <c r="S205" s="276"/>
      <c r="T205" s="276"/>
      <c r="U205" s="276"/>
      <c r="V205" s="276"/>
    </row>
    <row r="206" spans="8:22">
      <c r="H206" s="276"/>
      <c r="I206" s="276"/>
      <c r="J206" s="276"/>
      <c r="K206" s="283"/>
      <c r="L206" s="276"/>
      <c r="M206" s="276"/>
      <c r="N206" s="276"/>
      <c r="O206" s="276"/>
      <c r="P206" s="276"/>
      <c r="Q206" s="276"/>
      <c r="R206" s="276"/>
      <c r="S206" s="276"/>
      <c r="T206" s="276"/>
      <c r="U206" s="276"/>
      <c r="V206" s="276"/>
    </row>
    <row r="207" spans="8:22">
      <c r="H207" s="276"/>
      <c r="I207" s="276"/>
      <c r="J207" s="276"/>
      <c r="K207" s="283"/>
      <c r="L207" s="276"/>
      <c r="M207" s="276"/>
      <c r="N207" s="276"/>
      <c r="O207" s="276"/>
      <c r="P207" s="276"/>
      <c r="Q207" s="276"/>
      <c r="R207" s="276"/>
      <c r="S207" s="276"/>
      <c r="T207" s="276"/>
      <c r="U207" s="276"/>
      <c r="V207" s="276"/>
    </row>
    <row r="208" spans="8:22">
      <c r="H208" s="276"/>
      <c r="I208" s="276"/>
      <c r="J208" s="276"/>
      <c r="K208" s="283"/>
      <c r="L208" s="276"/>
      <c r="M208" s="276"/>
      <c r="N208" s="276"/>
      <c r="O208" s="276"/>
      <c r="P208" s="276"/>
      <c r="Q208" s="276"/>
      <c r="R208" s="276"/>
      <c r="S208" s="276"/>
      <c r="T208" s="276"/>
      <c r="U208" s="276"/>
      <c r="V208" s="276"/>
    </row>
    <row r="209" spans="8:22">
      <c r="H209" s="276"/>
      <c r="I209" s="276"/>
      <c r="J209" s="276"/>
      <c r="K209" s="283"/>
      <c r="L209" s="276"/>
      <c r="M209" s="276"/>
      <c r="N209" s="276"/>
      <c r="O209" s="276"/>
      <c r="P209" s="276"/>
      <c r="Q209" s="276"/>
      <c r="R209" s="276"/>
      <c r="S209" s="276"/>
      <c r="T209" s="276"/>
      <c r="U209" s="276"/>
      <c r="V209" s="276"/>
    </row>
    <row r="210" spans="8:22">
      <c r="H210" s="276"/>
      <c r="I210" s="276"/>
      <c r="J210" s="276"/>
      <c r="K210" s="283"/>
      <c r="L210" s="276"/>
      <c r="M210" s="276"/>
      <c r="N210" s="276"/>
      <c r="O210" s="276"/>
      <c r="P210" s="276"/>
      <c r="Q210" s="276"/>
      <c r="R210" s="276"/>
      <c r="S210" s="276"/>
      <c r="T210" s="276"/>
      <c r="U210" s="276"/>
      <c r="V210" s="276"/>
    </row>
    <row r="211" spans="8:22">
      <c r="H211" s="276"/>
      <c r="I211" s="276"/>
      <c r="J211" s="276"/>
      <c r="K211" s="283"/>
      <c r="L211" s="276"/>
      <c r="M211" s="276"/>
      <c r="N211" s="276"/>
      <c r="O211" s="276"/>
      <c r="P211" s="276"/>
      <c r="Q211" s="276"/>
      <c r="R211" s="276"/>
      <c r="S211" s="276"/>
      <c r="T211" s="276"/>
      <c r="U211" s="276"/>
      <c r="V211" s="276"/>
    </row>
    <row r="212" spans="8:22">
      <c r="H212" s="276"/>
      <c r="I212" s="276"/>
      <c r="J212" s="276"/>
      <c r="K212" s="283"/>
      <c r="L212" s="276"/>
      <c r="M212" s="276"/>
      <c r="N212" s="276"/>
      <c r="O212" s="276"/>
      <c r="P212" s="276"/>
      <c r="Q212" s="276"/>
      <c r="R212" s="276"/>
      <c r="S212" s="276"/>
      <c r="T212" s="276"/>
      <c r="U212" s="276"/>
      <c r="V212" s="276"/>
    </row>
    <row r="213" spans="8:22">
      <c r="H213" s="276"/>
      <c r="I213" s="276"/>
      <c r="J213" s="276"/>
      <c r="K213" s="283"/>
      <c r="L213" s="276"/>
      <c r="M213" s="276"/>
      <c r="N213" s="276"/>
      <c r="O213" s="276"/>
      <c r="P213" s="276"/>
      <c r="Q213" s="276"/>
      <c r="R213" s="276"/>
      <c r="S213" s="276"/>
      <c r="T213" s="276"/>
      <c r="U213" s="276"/>
      <c r="V213" s="276"/>
    </row>
    <row r="214" spans="8:22">
      <c r="H214" s="276"/>
      <c r="I214" s="276"/>
      <c r="J214" s="276"/>
      <c r="K214" s="283"/>
      <c r="L214" s="276"/>
      <c r="M214" s="276"/>
      <c r="N214" s="276"/>
      <c r="O214" s="276"/>
      <c r="P214" s="276"/>
      <c r="Q214" s="276"/>
      <c r="R214" s="276"/>
      <c r="S214" s="276"/>
      <c r="T214" s="276"/>
      <c r="U214" s="276"/>
      <c r="V214" s="276"/>
    </row>
    <row r="215" spans="8:22">
      <c r="H215" s="276"/>
      <c r="I215" s="276"/>
      <c r="J215" s="276"/>
      <c r="K215" s="283"/>
      <c r="L215" s="276"/>
      <c r="M215" s="276"/>
      <c r="N215" s="276"/>
      <c r="O215" s="276"/>
      <c r="P215" s="276"/>
      <c r="Q215" s="276"/>
      <c r="R215" s="276"/>
      <c r="S215" s="276"/>
      <c r="T215" s="276"/>
      <c r="U215" s="276"/>
      <c r="V215" s="276"/>
    </row>
    <row r="216" spans="8:22">
      <c r="H216" s="276"/>
      <c r="I216" s="276"/>
      <c r="J216" s="276"/>
      <c r="K216" s="283"/>
      <c r="L216" s="276"/>
      <c r="M216" s="276"/>
      <c r="N216" s="276"/>
      <c r="O216" s="276"/>
      <c r="P216" s="276"/>
      <c r="Q216" s="276"/>
      <c r="R216" s="276"/>
      <c r="S216" s="276"/>
      <c r="T216" s="276"/>
      <c r="U216" s="276"/>
      <c r="V216" s="276"/>
    </row>
    <row r="217" spans="8:22">
      <c r="H217" s="276"/>
      <c r="I217" s="276"/>
      <c r="J217" s="276"/>
      <c r="K217" s="283"/>
      <c r="L217" s="276"/>
      <c r="M217" s="276"/>
      <c r="N217" s="276"/>
      <c r="O217" s="276"/>
      <c r="P217" s="276"/>
      <c r="Q217" s="276"/>
      <c r="R217" s="276"/>
      <c r="S217" s="276"/>
      <c r="T217" s="276"/>
      <c r="U217" s="276"/>
      <c r="V217" s="276"/>
    </row>
    <row r="218" spans="8:22">
      <c r="H218" s="276"/>
      <c r="I218" s="276"/>
      <c r="J218" s="276"/>
      <c r="K218" s="283"/>
      <c r="L218" s="276"/>
      <c r="M218" s="276"/>
      <c r="N218" s="276"/>
      <c r="O218" s="276"/>
      <c r="P218" s="276"/>
      <c r="Q218" s="276"/>
      <c r="R218" s="276"/>
      <c r="S218" s="276"/>
      <c r="T218" s="276"/>
      <c r="U218" s="276"/>
      <c r="V218" s="276"/>
    </row>
    <row r="219" spans="8:22">
      <c r="H219" s="276"/>
      <c r="I219" s="276"/>
      <c r="J219" s="276"/>
      <c r="K219" s="283"/>
      <c r="L219" s="276"/>
      <c r="M219" s="276"/>
      <c r="N219" s="276"/>
      <c r="O219" s="276"/>
      <c r="P219" s="276"/>
      <c r="Q219" s="276"/>
      <c r="R219" s="276"/>
      <c r="S219" s="276"/>
      <c r="T219" s="276"/>
      <c r="U219" s="276"/>
      <c r="V219" s="276"/>
    </row>
    <row r="220" spans="8:22">
      <c r="H220" s="276"/>
      <c r="I220" s="276"/>
      <c r="J220" s="276"/>
      <c r="K220" s="283"/>
      <c r="L220" s="276"/>
      <c r="M220" s="276"/>
      <c r="N220" s="276"/>
      <c r="O220" s="276"/>
      <c r="P220" s="276"/>
      <c r="Q220" s="276"/>
      <c r="R220" s="276"/>
      <c r="S220" s="276"/>
      <c r="T220" s="276"/>
      <c r="U220" s="276"/>
      <c r="V220" s="276"/>
    </row>
    <row r="221" spans="8:22">
      <c r="H221" s="276"/>
      <c r="I221" s="276"/>
      <c r="J221" s="276"/>
      <c r="K221" s="283"/>
      <c r="L221" s="276"/>
      <c r="M221" s="276"/>
      <c r="N221" s="276"/>
      <c r="O221" s="276"/>
      <c r="P221" s="276"/>
      <c r="Q221" s="276"/>
      <c r="R221" s="276"/>
      <c r="S221" s="276"/>
      <c r="T221" s="276"/>
      <c r="U221" s="276"/>
      <c r="V221" s="276"/>
    </row>
    <row r="222" spans="8:22">
      <c r="H222" s="276"/>
      <c r="I222" s="276"/>
      <c r="J222" s="276"/>
      <c r="K222" s="283"/>
      <c r="L222" s="276"/>
      <c r="M222" s="276"/>
      <c r="N222" s="276"/>
      <c r="O222" s="276"/>
      <c r="P222" s="276"/>
      <c r="Q222" s="276"/>
      <c r="R222" s="276"/>
      <c r="S222" s="276"/>
      <c r="T222" s="276"/>
      <c r="U222" s="276"/>
      <c r="V222" s="276"/>
    </row>
    <row r="223" spans="8:22">
      <c r="H223" s="276"/>
      <c r="I223" s="276"/>
      <c r="J223" s="276"/>
      <c r="K223" s="283"/>
      <c r="L223" s="276"/>
      <c r="M223" s="276"/>
      <c r="N223" s="276"/>
      <c r="O223" s="276"/>
      <c r="P223" s="276"/>
      <c r="Q223" s="276"/>
      <c r="R223" s="276"/>
      <c r="S223" s="276"/>
      <c r="T223" s="276"/>
      <c r="U223" s="276"/>
      <c r="V223" s="276"/>
    </row>
    <row r="224" spans="8:22">
      <c r="H224" s="276"/>
      <c r="I224" s="276"/>
      <c r="J224" s="276"/>
      <c r="K224" s="283"/>
      <c r="L224" s="276"/>
      <c r="M224" s="276"/>
      <c r="N224" s="276"/>
      <c r="O224" s="276"/>
      <c r="P224" s="276"/>
      <c r="Q224" s="276"/>
      <c r="R224" s="276"/>
      <c r="S224" s="276"/>
      <c r="T224" s="276"/>
      <c r="U224" s="276"/>
      <c r="V224" s="276"/>
    </row>
    <row r="225" spans="8:22">
      <c r="H225" s="276"/>
      <c r="I225" s="276"/>
      <c r="J225" s="276"/>
      <c r="K225" s="283"/>
      <c r="L225" s="276"/>
      <c r="M225" s="276"/>
      <c r="N225" s="276"/>
      <c r="O225" s="276"/>
      <c r="P225" s="276"/>
      <c r="Q225" s="276"/>
      <c r="R225" s="276"/>
      <c r="S225" s="276"/>
      <c r="T225" s="276"/>
      <c r="U225" s="276"/>
      <c r="V225" s="276"/>
    </row>
    <row r="226" spans="8:22">
      <c r="H226" s="276"/>
      <c r="I226" s="276"/>
      <c r="J226" s="276"/>
      <c r="K226" s="283"/>
      <c r="L226" s="276"/>
      <c r="M226" s="276"/>
      <c r="N226" s="276"/>
      <c r="O226" s="276"/>
      <c r="P226" s="276"/>
      <c r="Q226" s="276"/>
      <c r="R226" s="276"/>
      <c r="S226" s="276"/>
      <c r="T226" s="276"/>
      <c r="U226" s="276"/>
      <c r="V226" s="276"/>
    </row>
    <row r="227" spans="8:22">
      <c r="H227" s="276"/>
      <c r="I227" s="276"/>
      <c r="J227" s="276"/>
      <c r="K227" s="283"/>
      <c r="L227" s="276"/>
      <c r="M227" s="276"/>
      <c r="N227" s="276"/>
      <c r="O227" s="276"/>
      <c r="P227" s="276"/>
      <c r="Q227" s="276"/>
      <c r="R227" s="276"/>
      <c r="S227" s="276"/>
      <c r="T227" s="276"/>
      <c r="U227" s="276"/>
      <c r="V227" s="276"/>
    </row>
    <row r="228" spans="8:22">
      <c r="H228" s="276"/>
      <c r="I228" s="276"/>
      <c r="J228" s="276"/>
      <c r="K228" s="283"/>
      <c r="L228" s="276"/>
      <c r="M228" s="276"/>
      <c r="N228" s="276"/>
      <c r="O228" s="276"/>
      <c r="P228" s="276"/>
      <c r="Q228" s="276"/>
      <c r="R228" s="276"/>
      <c r="S228" s="276"/>
      <c r="T228" s="276"/>
      <c r="U228" s="276"/>
      <c r="V228" s="276"/>
    </row>
    <row r="229" spans="8:22">
      <c r="H229" s="276"/>
      <c r="I229" s="276"/>
      <c r="J229" s="276"/>
      <c r="K229" s="283"/>
      <c r="L229" s="276"/>
      <c r="M229" s="276"/>
      <c r="N229" s="276"/>
      <c r="O229" s="276"/>
      <c r="P229" s="276"/>
      <c r="Q229" s="276"/>
      <c r="R229" s="276"/>
      <c r="S229" s="276"/>
      <c r="T229" s="276"/>
      <c r="U229" s="276"/>
      <c r="V229" s="276"/>
    </row>
    <row r="230" spans="8:22">
      <c r="H230" s="276"/>
      <c r="I230" s="276"/>
      <c r="J230" s="276"/>
      <c r="K230" s="283"/>
      <c r="L230" s="276"/>
      <c r="M230" s="276"/>
      <c r="N230" s="276"/>
      <c r="O230" s="276"/>
      <c r="P230" s="276"/>
      <c r="Q230" s="276"/>
      <c r="R230" s="276"/>
      <c r="S230" s="276"/>
      <c r="T230" s="276"/>
      <c r="U230" s="276"/>
      <c r="V230" s="276"/>
    </row>
    <row r="231" spans="8:22">
      <c r="H231" s="276"/>
      <c r="I231" s="276"/>
      <c r="J231" s="276"/>
      <c r="K231" s="283"/>
      <c r="L231" s="276"/>
      <c r="M231" s="276"/>
      <c r="N231" s="276"/>
      <c r="O231" s="276"/>
      <c r="P231" s="276"/>
      <c r="Q231" s="276"/>
      <c r="R231" s="276"/>
      <c r="S231" s="276"/>
      <c r="T231" s="276"/>
      <c r="U231" s="276"/>
      <c r="V231" s="276"/>
    </row>
    <row r="232" spans="8:22">
      <c r="H232" s="276"/>
      <c r="I232" s="276"/>
      <c r="J232" s="276"/>
      <c r="K232" s="283"/>
      <c r="L232" s="276"/>
      <c r="M232" s="276"/>
      <c r="N232" s="276"/>
      <c r="O232" s="276"/>
      <c r="P232" s="276"/>
      <c r="Q232" s="276"/>
      <c r="R232" s="276"/>
      <c r="S232" s="276"/>
      <c r="T232" s="276"/>
      <c r="U232" s="276"/>
      <c r="V232" s="276"/>
    </row>
    <row r="233" spans="8:22">
      <c r="H233" s="276"/>
      <c r="I233" s="276"/>
      <c r="J233" s="276"/>
      <c r="K233" s="283"/>
      <c r="L233" s="276"/>
      <c r="M233" s="276"/>
      <c r="N233" s="276"/>
      <c r="O233" s="276"/>
      <c r="P233" s="276"/>
      <c r="Q233" s="276"/>
      <c r="R233" s="276"/>
      <c r="S233" s="276"/>
      <c r="T233" s="276"/>
      <c r="U233" s="276"/>
      <c r="V233" s="276"/>
    </row>
    <row r="234" spans="8:22">
      <c r="H234" s="276"/>
      <c r="I234" s="276"/>
      <c r="J234" s="276"/>
      <c r="K234" s="283"/>
      <c r="L234" s="276"/>
      <c r="M234" s="276"/>
      <c r="N234" s="276"/>
      <c r="O234" s="276"/>
      <c r="P234" s="276"/>
      <c r="Q234" s="276"/>
      <c r="R234" s="276"/>
      <c r="S234" s="276"/>
      <c r="T234" s="276"/>
      <c r="U234" s="276"/>
      <c r="V234" s="276"/>
    </row>
    <row r="235" spans="8:22">
      <c r="H235" s="276"/>
      <c r="I235" s="276"/>
      <c r="J235" s="276"/>
      <c r="K235" s="283"/>
      <c r="L235" s="276"/>
      <c r="M235" s="276"/>
      <c r="N235" s="276"/>
      <c r="O235" s="276"/>
      <c r="P235" s="276"/>
      <c r="Q235" s="276"/>
      <c r="R235" s="276"/>
      <c r="S235" s="276"/>
      <c r="T235" s="276"/>
      <c r="U235" s="276"/>
      <c r="V235" s="276"/>
    </row>
    <row r="236" spans="8:22">
      <c r="H236" s="276"/>
      <c r="I236" s="276"/>
      <c r="J236" s="276"/>
      <c r="K236" s="283"/>
      <c r="L236" s="276"/>
      <c r="M236" s="276"/>
      <c r="N236" s="276"/>
      <c r="O236" s="276"/>
      <c r="P236" s="276"/>
      <c r="Q236" s="276"/>
      <c r="R236" s="276"/>
      <c r="S236" s="276"/>
      <c r="T236" s="276"/>
      <c r="U236" s="276"/>
      <c r="V236" s="276"/>
    </row>
    <row r="237" spans="8:22">
      <c r="H237" s="276"/>
      <c r="I237" s="276"/>
      <c r="J237" s="276"/>
      <c r="K237" s="283"/>
      <c r="L237" s="276"/>
      <c r="M237" s="276"/>
      <c r="N237" s="276"/>
      <c r="O237" s="276"/>
      <c r="P237" s="276"/>
      <c r="Q237" s="276"/>
      <c r="R237" s="276"/>
      <c r="S237" s="276"/>
      <c r="T237" s="276"/>
      <c r="U237" s="276"/>
      <c r="V237" s="276"/>
    </row>
    <row r="238" spans="8:22">
      <c r="H238" s="276"/>
      <c r="I238" s="276"/>
      <c r="J238" s="276"/>
      <c r="K238" s="283"/>
      <c r="L238" s="276"/>
      <c r="M238" s="276"/>
      <c r="N238" s="276"/>
      <c r="O238" s="276"/>
      <c r="P238" s="276"/>
      <c r="Q238" s="276"/>
      <c r="R238" s="276"/>
      <c r="S238" s="276"/>
      <c r="T238" s="276"/>
      <c r="U238" s="276"/>
      <c r="V238" s="276"/>
    </row>
    <row r="239" spans="8:22">
      <c r="H239" s="276"/>
      <c r="I239" s="276"/>
      <c r="J239" s="276"/>
      <c r="K239" s="283"/>
      <c r="L239" s="276"/>
      <c r="M239" s="276"/>
      <c r="N239" s="276"/>
      <c r="O239" s="276"/>
      <c r="P239" s="276"/>
      <c r="Q239" s="276"/>
      <c r="R239" s="276"/>
      <c r="S239" s="276"/>
      <c r="T239" s="276"/>
      <c r="U239" s="276"/>
      <c r="V239" s="276"/>
    </row>
    <row r="240" spans="8:22">
      <c r="H240" s="276"/>
      <c r="I240" s="276"/>
      <c r="J240" s="276"/>
      <c r="K240" s="283"/>
      <c r="L240" s="276"/>
      <c r="M240" s="276"/>
      <c r="N240" s="276"/>
      <c r="O240" s="276"/>
      <c r="P240" s="276"/>
      <c r="Q240" s="276"/>
      <c r="R240" s="276"/>
      <c r="S240" s="276"/>
      <c r="T240" s="276"/>
      <c r="U240" s="276"/>
      <c r="V240" s="276"/>
    </row>
    <row r="241" spans="8:22">
      <c r="H241" s="276"/>
      <c r="I241" s="276"/>
      <c r="J241" s="276"/>
      <c r="K241" s="283"/>
      <c r="L241" s="276"/>
      <c r="M241" s="276"/>
      <c r="N241" s="276"/>
      <c r="O241" s="276"/>
      <c r="P241" s="276"/>
      <c r="Q241" s="276"/>
      <c r="R241" s="276"/>
      <c r="S241" s="276"/>
      <c r="T241" s="276"/>
      <c r="U241" s="276"/>
      <c r="V241" s="276"/>
    </row>
    <row r="242" spans="8:22">
      <c r="H242" s="276"/>
      <c r="I242" s="276"/>
      <c r="J242" s="276"/>
      <c r="K242" s="283"/>
      <c r="L242" s="276"/>
      <c r="M242" s="276"/>
      <c r="N242" s="276"/>
      <c r="O242" s="276"/>
      <c r="P242" s="276"/>
      <c r="Q242" s="276"/>
      <c r="R242" s="276"/>
      <c r="S242" s="276"/>
      <c r="T242" s="276"/>
      <c r="U242" s="276"/>
      <c r="V242" s="276"/>
    </row>
    <row r="243" spans="8:22">
      <c r="H243" s="276"/>
      <c r="I243" s="276"/>
      <c r="J243" s="276"/>
      <c r="K243" s="283"/>
      <c r="L243" s="276"/>
      <c r="M243" s="276"/>
      <c r="N243" s="276"/>
      <c r="O243" s="276"/>
      <c r="P243" s="276"/>
      <c r="Q243" s="276"/>
      <c r="R243" s="276"/>
      <c r="S243" s="276"/>
      <c r="T243" s="276"/>
      <c r="U243" s="276"/>
      <c r="V243" s="276"/>
    </row>
    <row r="244" spans="8:22">
      <c r="H244" s="276"/>
      <c r="I244" s="276"/>
      <c r="J244" s="276"/>
      <c r="K244" s="283"/>
      <c r="L244" s="276"/>
      <c r="M244" s="276"/>
      <c r="N244" s="276"/>
      <c r="O244" s="276"/>
      <c r="P244" s="276"/>
      <c r="Q244" s="276"/>
      <c r="R244" s="276"/>
      <c r="S244" s="276"/>
      <c r="T244" s="276"/>
      <c r="U244" s="276"/>
      <c r="V244" s="276"/>
    </row>
    <row r="245" spans="8:22">
      <c r="H245" s="276"/>
      <c r="I245" s="276"/>
      <c r="J245" s="276"/>
      <c r="K245" s="283"/>
      <c r="L245" s="276"/>
      <c r="M245" s="276"/>
      <c r="N245" s="276"/>
      <c r="O245" s="276"/>
      <c r="P245" s="276"/>
      <c r="Q245" s="276"/>
      <c r="R245" s="276"/>
      <c r="S245" s="276"/>
      <c r="T245" s="276"/>
      <c r="U245" s="276"/>
      <c r="V245" s="276"/>
    </row>
    <row r="246" spans="8:22">
      <c r="H246" s="276"/>
      <c r="I246" s="276"/>
      <c r="J246" s="276"/>
      <c r="K246" s="283"/>
      <c r="L246" s="276"/>
      <c r="M246" s="276"/>
      <c r="N246" s="276"/>
      <c r="O246" s="276"/>
      <c r="P246" s="276"/>
      <c r="Q246" s="276"/>
      <c r="R246" s="276"/>
      <c r="S246" s="276"/>
      <c r="T246" s="276"/>
      <c r="U246" s="276"/>
      <c r="V246" s="276"/>
    </row>
    <row r="247" spans="8:22">
      <c r="H247" s="276"/>
      <c r="I247" s="276"/>
      <c r="J247" s="276"/>
      <c r="K247" s="283"/>
      <c r="L247" s="276"/>
      <c r="M247" s="276"/>
      <c r="N247" s="276"/>
      <c r="O247" s="276"/>
      <c r="P247" s="276"/>
      <c r="Q247" s="276"/>
      <c r="R247" s="276"/>
      <c r="S247" s="276"/>
      <c r="T247" s="276"/>
      <c r="U247" s="276"/>
      <c r="V247" s="276"/>
    </row>
    <row r="248" spans="8:22">
      <c r="H248" s="276"/>
      <c r="I248" s="276"/>
      <c r="J248" s="276"/>
      <c r="K248" s="283"/>
      <c r="L248" s="276"/>
      <c r="M248" s="276"/>
      <c r="N248" s="276"/>
      <c r="O248" s="276"/>
      <c r="P248" s="276"/>
      <c r="Q248" s="276"/>
      <c r="R248" s="276"/>
      <c r="S248" s="276"/>
      <c r="T248" s="276"/>
      <c r="U248" s="276"/>
      <c r="V248" s="276"/>
    </row>
    <row r="249" spans="8:22">
      <c r="H249" s="276"/>
      <c r="I249" s="276"/>
      <c r="J249" s="276"/>
      <c r="K249" s="283"/>
      <c r="L249" s="276"/>
      <c r="M249" s="276"/>
      <c r="N249" s="276"/>
      <c r="O249" s="276"/>
      <c r="P249" s="276"/>
      <c r="Q249" s="276"/>
      <c r="R249" s="276"/>
      <c r="S249" s="276"/>
      <c r="T249" s="276"/>
      <c r="U249" s="276"/>
      <c r="V249" s="276"/>
    </row>
    <row r="250" spans="8:22">
      <c r="J250" s="276"/>
      <c r="K250" s="283"/>
      <c r="L250" s="276"/>
      <c r="M250" s="276"/>
      <c r="N250" s="276"/>
      <c r="O250" s="276"/>
      <c r="P250" s="276"/>
      <c r="Q250" s="276"/>
      <c r="R250" s="276"/>
      <c r="S250" s="276"/>
      <c r="T250" s="276"/>
      <c r="U250" s="276"/>
      <c r="V250" s="276"/>
    </row>
  </sheetData>
  <sheetProtection autoFilter="0"/>
  <autoFilter ref="K4:R110" xr:uid="{00000000-0009-0000-0000-000001000000}"/>
  <conditionalFormatting sqref="O13 O23:O38 O47:O50 O69:O83">
    <cfRule type="cellIs" dxfId="39" priority="36" operator="equal">
      <formula>0</formula>
    </cfRule>
  </conditionalFormatting>
  <conditionalFormatting sqref="O59">
    <cfRule type="cellIs" dxfId="38" priority="1" operator="equal">
      <formula>0</formula>
    </cfRule>
  </conditionalFormatting>
  <conditionalFormatting sqref="O97">
    <cfRule type="cellIs" dxfId="37" priority="12" operator="equal">
      <formula>0</formula>
    </cfRule>
  </conditionalFormatting>
  <conditionalFormatting sqref="O104">
    <cfRule type="cellIs" dxfId="36" priority="9" operator="equal">
      <formula>0</formula>
    </cfRule>
  </conditionalFormatting>
  <conditionalFormatting sqref="O109">
    <cfRule type="cellIs" dxfId="35" priority="6" operator="equal">
      <formula>0</formula>
    </cfRule>
  </conditionalFormatting>
  <conditionalFormatting sqref="Q5 Q39">
    <cfRule type="cellIs" dxfId="34" priority="38" operator="greaterThan">
      <formula>0</formula>
    </cfRule>
  </conditionalFormatting>
  <conditionalFormatting sqref="Q15">
    <cfRule type="cellIs" dxfId="33" priority="33" operator="greaterThan">
      <formula>0</formula>
    </cfRule>
  </conditionalFormatting>
  <conditionalFormatting sqref="Q22">
    <cfRule type="cellIs" dxfId="32" priority="22" operator="greaterThan">
      <formula>0</formula>
    </cfRule>
  </conditionalFormatting>
  <conditionalFormatting sqref="Q30">
    <cfRule type="cellIs" dxfId="31" priority="29" operator="greaterThan">
      <formula>0</formula>
    </cfRule>
  </conditionalFormatting>
  <conditionalFormatting sqref="Q46">
    <cfRule type="cellIs" dxfId="30" priority="31" operator="greaterThan">
      <formula>0</formula>
    </cfRule>
  </conditionalFormatting>
  <conditionalFormatting sqref="Q51">
    <cfRule type="cellIs" dxfId="29" priority="3" operator="greaterThan">
      <formula>0</formula>
    </cfRule>
  </conditionalFormatting>
  <conditionalFormatting sqref="Q61">
    <cfRule type="cellIs" dxfId="28" priority="5" operator="greaterThan">
      <formula>0</formula>
    </cfRule>
  </conditionalFormatting>
  <conditionalFormatting sqref="Q68">
    <cfRule type="cellIs" dxfId="27" priority="16" operator="greaterThan">
      <formula>0</formula>
    </cfRule>
  </conditionalFormatting>
  <conditionalFormatting sqref="Q75">
    <cfRule type="cellIs" dxfId="26" priority="18" operator="greaterThan">
      <formula>0</formula>
    </cfRule>
  </conditionalFormatting>
  <conditionalFormatting sqref="Q84">
    <cfRule type="cellIs" dxfId="25" priority="20" operator="greaterThan">
      <formula>0</formula>
    </cfRule>
  </conditionalFormatting>
  <conditionalFormatting sqref="Q90">
    <cfRule type="cellIs" dxfId="24" priority="14" operator="greaterThan">
      <formula>0</formula>
    </cfRule>
  </conditionalFormatting>
  <conditionalFormatting sqref="Q99">
    <cfRule type="cellIs" dxfId="23" priority="11" operator="greaterThan">
      <formula>0</formula>
    </cfRule>
  </conditionalFormatting>
  <conditionalFormatting sqref="Q106">
    <cfRule type="cellIs" dxfId="22" priority="8" operator="greaterThan">
      <formula>0</formula>
    </cfRule>
  </conditionalFormatting>
  <conditionalFormatting sqref="S5 S39">
    <cfRule type="cellIs" dxfId="21" priority="37" operator="greaterThan">
      <formula>0</formula>
    </cfRule>
  </conditionalFormatting>
  <conditionalFormatting sqref="S15">
    <cfRule type="cellIs" dxfId="20" priority="32" operator="greaterThan">
      <formula>0</formula>
    </cfRule>
  </conditionalFormatting>
  <conditionalFormatting sqref="S22">
    <cfRule type="cellIs" dxfId="19" priority="21" operator="greaterThan">
      <formula>0</formula>
    </cfRule>
  </conditionalFormatting>
  <conditionalFormatting sqref="S30">
    <cfRule type="cellIs" dxfId="18" priority="28" operator="greaterThan">
      <formula>0</formula>
    </cfRule>
  </conditionalFormatting>
  <conditionalFormatting sqref="S46">
    <cfRule type="cellIs" dxfId="17" priority="30" operator="greaterThan">
      <formula>0</formula>
    </cfRule>
  </conditionalFormatting>
  <conditionalFormatting sqref="S51">
    <cfRule type="cellIs" dxfId="16" priority="2" operator="greaterThan">
      <formula>0</formula>
    </cfRule>
  </conditionalFormatting>
  <conditionalFormatting sqref="S61">
    <cfRule type="cellIs" dxfId="15" priority="4" operator="greaterThan">
      <formula>0</formula>
    </cfRule>
  </conditionalFormatting>
  <conditionalFormatting sqref="S68">
    <cfRule type="cellIs" dxfId="14" priority="15" operator="greaterThan">
      <formula>0</formula>
    </cfRule>
  </conditionalFormatting>
  <conditionalFormatting sqref="S84">
    <cfRule type="cellIs" dxfId="13" priority="19" operator="greaterThan">
      <formula>0</formula>
    </cfRule>
  </conditionalFormatting>
  <conditionalFormatting sqref="S90">
    <cfRule type="cellIs" dxfId="12" priority="13" operator="greaterThan">
      <formula>0</formula>
    </cfRule>
  </conditionalFormatting>
  <conditionalFormatting sqref="S99">
    <cfRule type="cellIs" dxfId="11" priority="10" operator="greaterThan">
      <formula>0</formula>
    </cfRule>
  </conditionalFormatting>
  <conditionalFormatting sqref="S106">
    <cfRule type="cellIs" dxfId="10" priority="7" operator="greaterThan">
      <formula>0</formula>
    </cfRule>
  </conditionalFormatting>
  <printOptions horizontalCentered="1" verticalCentered="1"/>
  <pageMargins left="0.70866141732283472" right="0.70866141732283472" top="0.74803149606299213" bottom="0.74803149606299213" header="0.31496062992125984" footer="0.31496062992125984"/>
  <pageSetup scale="130" orientation="landscape"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EADA-BBD9-4991-B0B6-E24559CABA27}">
  <sheetPr codeName="Hoja15">
    <tabColor rgb="FF7030A0"/>
    <pageSetUpPr fitToPage="1"/>
  </sheetPr>
  <dimension ref="B3:Z105"/>
  <sheetViews>
    <sheetView topLeftCell="A34" workbookViewId="0">
      <selection activeCell="F38" sqref="F38"/>
    </sheetView>
  </sheetViews>
  <sheetFormatPr baseColWidth="10" defaultRowHeight="18.75"/>
  <cols>
    <col min="1" max="1" width="8.140625" customWidth="1"/>
    <col min="3" max="3" width="22.42578125" style="676" customWidth="1"/>
    <col min="4" max="4" width="16.28515625" style="676" customWidth="1"/>
    <col min="5" max="5" width="17" style="676" customWidth="1"/>
    <col min="6" max="6" width="12.42578125" style="676" customWidth="1"/>
    <col min="7" max="7" width="21.28515625" style="676" customWidth="1"/>
    <col min="8" max="8" width="14.85546875" style="676" customWidth="1"/>
    <col min="9" max="9" width="13.28515625" style="676" customWidth="1"/>
    <col min="10" max="10" width="12.7109375" style="676" bestFit="1" customWidth="1"/>
    <col min="14" max="14" width="18.5703125" customWidth="1"/>
    <col min="15" max="15" width="55.5703125" customWidth="1"/>
    <col min="16" max="16" width="13.28515625" customWidth="1"/>
    <col min="17" max="17" width="19.42578125" customWidth="1"/>
    <col min="18" max="18" width="22.28515625" customWidth="1"/>
    <col min="19" max="19" width="16" customWidth="1"/>
    <col min="20" max="20" width="15.85546875" customWidth="1"/>
    <col min="21" max="21" width="4" style="790" customWidth="1"/>
    <col min="22" max="23" width="12.7109375" customWidth="1"/>
    <col min="25" max="25" width="13.7109375" customWidth="1"/>
    <col min="26" max="26" width="18.42578125" customWidth="1"/>
  </cols>
  <sheetData>
    <row r="3" spans="2:11" ht="24" customHeight="1">
      <c r="B3" s="325"/>
      <c r="C3" s="1390"/>
      <c r="D3" s="1390"/>
      <c r="E3" s="1391"/>
      <c r="F3" s="1390"/>
      <c r="G3" s="1287">
        <f>SUM(G8+G13+G18+G23)</f>
        <v>2407645.7293868922</v>
      </c>
      <c r="H3" s="1390"/>
      <c r="I3" s="1390"/>
      <c r="J3" s="1390"/>
      <c r="K3" s="325"/>
    </row>
    <row r="4" spans="2:11" ht="15" customHeight="1">
      <c r="B4" s="325"/>
      <c r="C4" s="1390"/>
      <c r="D4" s="1390"/>
      <c r="E4" s="1390"/>
      <c r="F4" s="1390"/>
      <c r="G4" s="1390"/>
      <c r="H4" s="1390"/>
      <c r="I4" s="1390"/>
      <c r="J4" s="1390"/>
      <c r="K4" s="325"/>
    </row>
    <row r="5" spans="2:11" ht="36" customHeight="1">
      <c r="B5" s="325"/>
      <c r="C5" s="1392" t="s">
        <v>1</v>
      </c>
      <c r="D5" s="1392" t="s">
        <v>531</v>
      </c>
      <c r="E5" s="1392" t="s">
        <v>496</v>
      </c>
      <c r="F5" s="1392" t="s">
        <v>192</v>
      </c>
      <c r="G5" s="1392" t="s">
        <v>400</v>
      </c>
      <c r="H5" s="1392" t="s">
        <v>497</v>
      </c>
      <c r="I5" s="1392" t="s">
        <v>498</v>
      </c>
      <c r="J5" s="1392" t="s">
        <v>7</v>
      </c>
      <c r="K5" s="325"/>
    </row>
    <row r="6" spans="2:11" ht="20.100000000000001" customHeight="1">
      <c r="B6" s="325"/>
      <c r="C6" s="1393" t="s">
        <v>898</v>
      </c>
      <c r="D6" s="1394">
        <v>3</v>
      </c>
      <c r="E6" s="1395">
        <v>195</v>
      </c>
      <c r="F6" s="1396">
        <f>((I6*H6)*D6)/1000</f>
        <v>8190</v>
      </c>
      <c r="G6" s="1397">
        <f>(E6*F6)</f>
        <v>1597050</v>
      </c>
      <c r="H6" s="1398">
        <f>(H7)</f>
        <v>413</v>
      </c>
      <c r="I6" s="1399">
        <f>(I7)</f>
        <v>6610.1694915254238</v>
      </c>
      <c r="J6" s="1400">
        <f>(G6/I6)</f>
        <v>241.60499999999999</v>
      </c>
      <c r="K6" s="325"/>
    </row>
    <row r="7" spans="2:11" ht="20.100000000000001" customHeight="1">
      <c r="B7" s="325"/>
      <c r="C7" s="1401" t="s">
        <v>897</v>
      </c>
      <c r="D7" s="1394">
        <v>2</v>
      </c>
      <c r="E7" s="1395">
        <v>240</v>
      </c>
      <c r="F7" s="1396">
        <f>5240+220</f>
        <v>5460</v>
      </c>
      <c r="G7" s="1397">
        <f>(E7*F7)</f>
        <v>1310400</v>
      </c>
      <c r="H7" s="1398">
        <v>413</v>
      </c>
      <c r="I7" s="1399">
        <f>F7/((H7*D7)/1000)</f>
        <v>6610.1694915254238</v>
      </c>
      <c r="J7" s="1402">
        <f>(G7/I7)</f>
        <v>198.24</v>
      </c>
      <c r="K7" s="325"/>
    </row>
    <row r="8" spans="2:11" ht="20.100000000000001" customHeight="1">
      <c r="B8" s="325"/>
      <c r="C8" s="1390"/>
      <c r="D8" s="1390"/>
      <c r="E8" s="1390"/>
      <c r="F8" s="1390"/>
      <c r="G8" s="1403">
        <f>(G6-G7)</f>
        <v>286650</v>
      </c>
      <c r="H8" s="1390"/>
      <c r="I8" s="1390"/>
      <c r="J8" s="1404">
        <f>(J6-J7)/J6</f>
        <v>0.1794871794871794</v>
      </c>
      <c r="K8" s="325"/>
    </row>
    <row r="9" spans="2:11" ht="20.100000000000001" customHeight="1">
      <c r="B9" s="325"/>
      <c r="C9" s="1390"/>
      <c r="D9" s="1390"/>
      <c r="E9" s="1390"/>
      <c r="F9" s="1390"/>
      <c r="G9" s="1405">
        <f>(G6-G7)/G6</f>
        <v>0.17948717948717949</v>
      </c>
      <c r="H9" s="1390"/>
      <c r="I9" s="1390"/>
      <c r="J9" s="1406"/>
      <c r="K9" s="325"/>
    </row>
    <row r="10" spans="2:11" ht="36" customHeight="1">
      <c r="B10" s="325"/>
      <c r="C10" s="1392" t="s">
        <v>1</v>
      </c>
      <c r="D10" s="1392" t="s">
        <v>531</v>
      </c>
      <c r="E10" s="1392" t="s">
        <v>496</v>
      </c>
      <c r="F10" s="1392" t="s">
        <v>192</v>
      </c>
      <c r="G10" s="1392" t="s">
        <v>400</v>
      </c>
      <c r="H10" s="1392" t="s">
        <v>497</v>
      </c>
      <c r="I10" s="1392" t="s">
        <v>498</v>
      </c>
      <c r="J10" s="1392" t="s">
        <v>7</v>
      </c>
      <c r="K10" s="325"/>
    </row>
    <row r="11" spans="2:11" ht="20.100000000000001" customHeight="1">
      <c r="B11" s="325"/>
      <c r="C11" s="1393" t="s">
        <v>899</v>
      </c>
      <c r="D11" s="1394">
        <v>3</v>
      </c>
      <c r="E11" s="1395">
        <v>244</v>
      </c>
      <c r="F11" s="1396">
        <f>((I11*H11)*D11)/1000</f>
        <v>20970</v>
      </c>
      <c r="G11" s="1397">
        <f>(E11*F11)</f>
        <v>5116680</v>
      </c>
      <c r="H11" s="1398">
        <f>(H12)</f>
        <v>413</v>
      </c>
      <c r="I11" s="1399">
        <f>(I12)</f>
        <v>16924.93946731235</v>
      </c>
      <c r="J11" s="1400">
        <f>(G11/I11)</f>
        <v>302.31599999999997</v>
      </c>
      <c r="K11" s="325"/>
    </row>
    <row r="12" spans="2:11" ht="20.100000000000001" customHeight="1">
      <c r="B12" s="325"/>
      <c r="C12" s="1401" t="s">
        <v>637</v>
      </c>
      <c r="D12" s="1394">
        <v>2</v>
      </c>
      <c r="E12" s="1395">
        <v>299</v>
      </c>
      <c r="F12" s="1396">
        <f>13760+220</f>
        <v>13980</v>
      </c>
      <c r="G12" s="1397">
        <f>(E12*F12)</f>
        <v>4180020</v>
      </c>
      <c r="H12" s="1398">
        <v>413</v>
      </c>
      <c r="I12" s="1399">
        <f>F12/((H12*D12)/1000)</f>
        <v>16924.93946731235</v>
      </c>
      <c r="J12" s="1402">
        <f>(G12/I12)</f>
        <v>246.97399999999999</v>
      </c>
      <c r="K12" s="325"/>
    </row>
    <row r="13" spans="2:11" ht="20.100000000000001" customHeight="1">
      <c r="B13" s="325"/>
      <c r="C13" s="1390"/>
      <c r="D13" s="1390"/>
      <c r="E13" s="1390"/>
      <c r="F13" s="1390"/>
      <c r="G13" s="1403">
        <f>(G11-G12)</f>
        <v>936660</v>
      </c>
      <c r="H13" s="1390"/>
      <c r="I13" s="1390"/>
      <c r="J13" s="1404">
        <f>(J11-J12)/J11</f>
        <v>0.18306010928961744</v>
      </c>
      <c r="K13" s="325"/>
    </row>
    <row r="14" spans="2:11" ht="20.100000000000001" customHeight="1">
      <c r="B14" s="325"/>
      <c r="C14" s="1390"/>
      <c r="D14" s="1390"/>
      <c r="E14" s="1390"/>
      <c r="F14" s="1390"/>
      <c r="G14" s="1405">
        <f>(G11-G12)/G11</f>
        <v>0.1830601092896175</v>
      </c>
      <c r="H14" s="1390"/>
      <c r="I14" s="1390"/>
      <c r="J14" s="1406"/>
      <c r="K14" s="325"/>
    </row>
    <row r="15" spans="2:11" ht="36" customHeight="1">
      <c r="B15" s="325"/>
      <c r="C15" s="1392" t="s">
        <v>1</v>
      </c>
      <c r="D15" s="1392" t="s">
        <v>531</v>
      </c>
      <c r="E15" s="1392" t="s">
        <v>496</v>
      </c>
      <c r="F15" s="1392" t="s">
        <v>192</v>
      </c>
      <c r="G15" s="1392" t="s">
        <v>400</v>
      </c>
      <c r="H15" s="1392" t="s">
        <v>497</v>
      </c>
      <c r="I15" s="1392" t="s">
        <v>498</v>
      </c>
      <c r="J15" s="1392" t="s">
        <v>7</v>
      </c>
      <c r="K15" s="325"/>
    </row>
    <row r="16" spans="2:11" ht="18" customHeight="1">
      <c r="B16" s="325"/>
      <c r="C16" s="1393" t="s">
        <v>15</v>
      </c>
      <c r="D16" s="1394">
        <v>5</v>
      </c>
      <c r="E16" s="1395">
        <v>425</v>
      </c>
      <c r="F16" s="1396">
        <f>CEILING((F17/6),20)</f>
        <v>5880</v>
      </c>
      <c r="G16" s="1397">
        <f>(E16*F16)</f>
        <v>2499000</v>
      </c>
      <c r="H16" s="1398">
        <v>357</v>
      </c>
      <c r="I16" s="1399">
        <f>F16/((H16*D16)/1000)-2</f>
        <v>3292.1176470588239</v>
      </c>
      <c r="J16" s="1400">
        <f>(G16/I16)</f>
        <v>759.0858735660936</v>
      </c>
      <c r="K16" s="325"/>
    </row>
    <row r="17" spans="2:11" ht="18" customHeight="1">
      <c r="B17" s="325"/>
      <c r="C17" s="1401" t="s">
        <v>900</v>
      </c>
      <c r="D17" s="1394">
        <v>30</v>
      </c>
      <c r="E17" s="1395">
        <v>40</v>
      </c>
      <c r="F17" s="1396">
        <f>14760+5800+14700</f>
        <v>35260</v>
      </c>
      <c r="G17" s="1397">
        <f>(E17*F17)</f>
        <v>1410400</v>
      </c>
      <c r="H17" s="1398">
        <v>357</v>
      </c>
      <c r="I17" s="1399">
        <f>F17/((H17*D17)/1000)</f>
        <v>3292.2502334267037</v>
      </c>
      <c r="J17" s="1402">
        <f>(G17/I17)</f>
        <v>428.40000000000003</v>
      </c>
      <c r="K17" s="325"/>
    </row>
    <row r="18" spans="2:11" ht="18" customHeight="1">
      <c r="B18" s="325"/>
      <c r="C18" s="1390"/>
      <c r="D18" s="1390"/>
      <c r="E18" s="1390"/>
      <c r="F18" s="1390"/>
      <c r="G18" s="1403">
        <f>(G16-G17)</f>
        <v>1088600</v>
      </c>
      <c r="H18" s="1390"/>
      <c r="I18" s="1390"/>
      <c r="J18" s="1404">
        <f>(J16-J17)/J16</f>
        <v>0.43563697478991587</v>
      </c>
      <c r="K18" s="325"/>
    </row>
    <row r="19" spans="2:11" ht="18" customHeight="1">
      <c r="B19" s="325"/>
      <c r="C19" s="1390"/>
      <c r="D19" s="1390"/>
      <c r="E19" s="1390"/>
      <c r="F19" s="1390"/>
      <c r="G19" s="1405">
        <f>(G16-G17)/G16</f>
        <v>0.43561424569827933</v>
      </c>
      <c r="H19" s="1390"/>
      <c r="I19" s="1390"/>
      <c r="J19" s="1406"/>
      <c r="K19" s="325"/>
    </row>
    <row r="20" spans="2:11" ht="36" customHeight="1">
      <c r="B20" s="325"/>
      <c r="C20" s="1392" t="s">
        <v>1</v>
      </c>
      <c r="D20" s="1392" t="s">
        <v>531</v>
      </c>
      <c r="E20" s="1392" t="s">
        <v>496</v>
      </c>
      <c r="F20" s="1392" t="s">
        <v>192</v>
      </c>
      <c r="G20" s="1392" t="s">
        <v>400</v>
      </c>
      <c r="H20" s="1392" t="s">
        <v>497</v>
      </c>
      <c r="I20" s="1392" t="s">
        <v>498</v>
      </c>
      <c r="J20" s="1392" t="s">
        <v>7</v>
      </c>
      <c r="K20" s="325"/>
    </row>
    <row r="21" spans="2:11" ht="20.100000000000001" customHeight="1">
      <c r="B21" s="325"/>
      <c r="C21" s="1393" t="s">
        <v>499</v>
      </c>
      <c r="D21" s="1394">
        <v>5</v>
      </c>
      <c r="E21" s="1395">
        <f>1350/9.46</f>
        <v>142.70613107822408</v>
      </c>
      <c r="F21" s="1396">
        <v>1750</v>
      </c>
      <c r="G21" s="1397">
        <f>(E21*F21)</f>
        <v>249735.72938689214</v>
      </c>
      <c r="H21" s="1398">
        <v>500</v>
      </c>
      <c r="I21" s="1398">
        <f>F21/((H21*D21)/1000)</f>
        <v>700</v>
      </c>
      <c r="J21" s="1400">
        <f>(G21/I21)</f>
        <v>356.76532769556019</v>
      </c>
      <c r="K21" s="325"/>
    </row>
    <row r="22" spans="2:11" ht="20.100000000000001" customHeight="1">
      <c r="B22" s="325"/>
      <c r="C22" s="1401" t="s">
        <v>443</v>
      </c>
      <c r="D22" s="1394">
        <v>4</v>
      </c>
      <c r="E22" s="1395">
        <v>110</v>
      </c>
      <c r="F22" s="1396">
        <v>1400</v>
      </c>
      <c r="G22" s="1397">
        <f>(E22*F22)</f>
        <v>154000</v>
      </c>
      <c r="H22" s="1398">
        <v>500</v>
      </c>
      <c r="I22" s="1398">
        <f>F22/((H22*D22)/1000)</f>
        <v>700</v>
      </c>
      <c r="J22" s="1402">
        <f>(G22/I22)</f>
        <v>220</v>
      </c>
      <c r="K22" s="325"/>
    </row>
    <row r="23" spans="2:11" ht="20.100000000000001" customHeight="1">
      <c r="B23" s="325"/>
      <c r="C23" s="1390"/>
      <c r="D23" s="1390"/>
      <c r="E23" s="1390"/>
      <c r="F23" s="1390"/>
      <c r="G23" s="1403">
        <f>(G21-G22)</f>
        <v>95735.729386892141</v>
      </c>
      <c r="H23" s="1390"/>
      <c r="I23" s="1390"/>
      <c r="J23" s="1404">
        <f>(J21-J22)/J21</f>
        <v>0.38334814814814805</v>
      </c>
      <c r="K23" s="325"/>
    </row>
    <row r="24" spans="2:11" ht="20.100000000000001" customHeight="1">
      <c r="B24" s="325"/>
      <c r="C24" s="1390"/>
      <c r="D24" s="1390"/>
      <c r="E24" s="1390"/>
      <c r="F24" s="1390"/>
      <c r="G24" s="1405">
        <f>(G21-G22)/G21</f>
        <v>0.38334814814814805</v>
      </c>
      <c r="H24" s="1390"/>
      <c r="I24" s="1390"/>
      <c r="J24" s="1390"/>
      <c r="K24" s="325"/>
    </row>
    <row r="25" spans="2:11" ht="15" customHeight="1">
      <c r="B25" s="325"/>
      <c r="C25" s="1390"/>
      <c r="D25" s="1390"/>
      <c r="E25" s="1390"/>
      <c r="F25" s="1390"/>
      <c r="H25" s="1390"/>
      <c r="I25" s="1390"/>
      <c r="J25" s="1390"/>
      <c r="K25" s="325"/>
    </row>
    <row r="26" spans="2:11" ht="24" customHeight="1">
      <c r="B26" s="325"/>
      <c r="C26" s="1414"/>
      <c r="D26" s="1414"/>
      <c r="E26" s="1414"/>
      <c r="F26" s="1414"/>
      <c r="G26" s="1287">
        <f>SUM(G30+G35+G40+G45)</f>
        <v>3029544.8</v>
      </c>
      <c r="H26" s="1414"/>
      <c r="I26" s="1414"/>
      <c r="J26" s="1414"/>
      <c r="K26" s="325"/>
    </row>
    <row r="27" spans="2:11" ht="15" customHeight="1">
      <c r="B27" s="325"/>
      <c r="C27" s="1414"/>
      <c r="D27" s="1414"/>
      <c r="E27" s="1414"/>
      <c r="F27" s="1414"/>
      <c r="G27" s="1414"/>
      <c r="H27" s="1414"/>
      <c r="I27" s="1414"/>
      <c r="J27" s="1414"/>
      <c r="K27" s="325"/>
    </row>
    <row r="28" spans="2:11" ht="36" customHeight="1">
      <c r="B28" s="325"/>
      <c r="C28" s="1392" t="s">
        <v>1</v>
      </c>
      <c r="D28" s="1392" t="s">
        <v>531</v>
      </c>
      <c r="E28" s="1392" t="s">
        <v>496</v>
      </c>
      <c r="F28" s="1392" t="s">
        <v>192</v>
      </c>
      <c r="G28" s="1392" t="s">
        <v>400</v>
      </c>
      <c r="H28" s="1392" t="s">
        <v>497</v>
      </c>
      <c r="I28" s="1392" t="s">
        <v>498</v>
      </c>
      <c r="J28" s="1392" t="s">
        <v>7</v>
      </c>
      <c r="K28" s="325"/>
    </row>
    <row r="29" spans="2:11" ht="20.100000000000001" customHeight="1">
      <c r="B29" s="325"/>
      <c r="C29" s="1393" t="s">
        <v>500</v>
      </c>
      <c r="D29" s="1407">
        <v>5</v>
      </c>
      <c r="E29" s="1395">
        <v>45000</v>
      </c>
      <c r="F29" s="1408">
        <v>45.61</v>
      </c>
      <c r="G29" s="1415">
        <f>(E29*F29)</f>
        <v>2052450</v>
      </c>
      <c r="H29" s="1407">
        <v>5</v>
      </c>
      <c r="I29" s="1396">
        <f>(F29*1000)/D29</f>
        <v>9122</v>
      </c>
      <c r="J29" s="1400">
        <f>(G29/I29)</f>
        <v>225</v>
      </c>
      <c r="K29" s="325"/>
    </row>
    <row r="30" spans="2:11" ht="37.5">
      <c r="B30" s="325"/>
      <c r="C30" s="1401" t="s">
        <v>501</v>
      </c>
      <c r="D30" s="1407">
        <v>5</v>
      </c>
      <c r="E30" s="1395">
        <v>25000</v>
      </c>
      <c r="F30" s="1408">
        <v>45.61</v>
      </c>
      <c r="G30" s="1415">
        <f>(E30*F30)</f>
        <v>1140250</v>
      </c>
      <c r="H30" s="1407">
        <v>5</v>
      </c>
      <c r="I30" s="1396">
        <f>(F30*1000)/D30</f>
        <v>9122</v>
      </c>
      <c r="J30" s="1402">
        <f>(G30/I30)</f>
        <v>125</v>
      </c>
      <c r="K30" s="325"/>
    </row>
    <row r="31" spans="2:11" ht="20.100000000000001" customHeight="1">
      <c r="B31" s="325"/>
      <c r="C31" s="1414"/>
      <c r="D31" s="1414"/>
      <c r="E31" s="1414"/>
      <c r="F31" s="1414"/>
      <c r="G31" s="1416">
        <f>(G29-G30)</f>
        <v>912200</v>
      </c>
      <c r="H31" s="1414"/>
      <c r="I31" s="1414"/>
      <c r="J31" s="1404">
        <f>(J29-J30)/J29</f>
        <v>0.44444444444444442</v>
      </c>
      <c r="K31" s="325"/>
    </row>
    <row r="32" spans="2:11" ht="20.100000000000001" customHeight="1">
      <c r="B32" s="325"/>
      <c r="C32" s="1414"/>
      <c r="D32" s="1414"/>
      <c r="E32" s="1414"/>
      <c r="F32" s="1414"/>
      <c r="G32" s="1404">
        <f>(G29-G30)/G29</f>
        <v>0.44444444444444442</v>
      </c>
      <c r="H32" s="1414"/>
      <c r="I32" s="1414"/>
      <c r="J32" s="1414"/>
      <c r="K32" s="325"/>
    </row>
    <row r="33" spans="2:11" ht="36" customHeight="1">
      <c r="B33" s="325"/>
      <c r="C33" s="1392" t="s">
        <v>1</v>
      </c>
      <c r="D33" s="1392" t="s">
        <v>531</v>
      </c>
      <c r="E33" s="1392" t="s">
        <v>496</v>
      </c>
      <c r="F33" s="1392" t="s">
        <v>192</v>
      </c>
      <c r="G33" s="1392" t="s">
        <v>400</v>
      </c>
      <c r="H33" s="1392" t="s">
        <v>497</v>
      </c>
      <c r="I33" s="1392" t="s">
        <v>498</v>
      </c>
      <c r="J33" s="1392" t="s">
        <v>7</v>
      </c>
      <c r="K33" s="325"/>
    </row>
    <row r="34" spans="2:11" ht="20.100000000000001" customHeight="1">
      <c r="B34" s="325"/>
      <c r="C34" s="1393" t="s">
        <v>87</v>
      </c>
      <c r="D34" s="1409">
        <v>500</v>
      </c>
      <c r="E34" s="1395">
        <v>7</v>
      </c>
      <c r="F34" s="1396">
        <v>241004</v>
      </c>
      <c r="G34" s="1415">
        <f>(E34*F34)</f>
        <v>1687028</v>
      </c>
      <c r="H34" s="1417">
        <v>180</v>
      </c>
      <c r="I34" s="1396">
        <f>(F34/H34)</f>
        <v>1338.911111111111</v>
      </c>
      <c r="J34" s="1400">
        <f>(G34/I34)</f>
        <v>1260</v>
      </c>
      <c r="K34" s="325"/>
    </row>
    <row r="35" spans="2:11" ht="39.75" customHeight="1">
      <c r="B35" s="325"/>
      <c r="C35" s="1401" t="s">
        <v>896</v>
      </c>
      <c r="D35" s="1409">
        <v>560</v>
      </c>
      <c r="E35" s="1395">
        <v>1.2</v>
      </c>
      <c r="F35" s="1396">
        <v>241004</v>
      </c>
      <c r="G35" s="1415">
        <f>(E35*F35)</f>
        <v>289204.8</v>
      </c>
      <c r="H35" s="1417">
        <v>200</v>
      </c>
      <c r="I35" s="1396">
        <f>(F35/H35)</f>
        <v>1205.02</v>
      </c>
      <c r="J35" s="1402">
        <f>(G35/I35)</f>
        <v>240</v>
      </c>
      <c r="K35" s="325"/>
    </row>
    <row r="36" spans="2:11" ht="20.100000000000001" customHeight="1">
      <c r="B36" s="325"/>
      <c r="C36" s="1414"/>
      <c r="D36" s="1414"/>
      <c r="E36" s="1414"/>
      <c r="F36" s="1414"/>
      <c r="G36" s="1416">
        <f>(G34-G35)</f>
        <v>1397823.2</v>
      </c>
      <c r="H36" s="1414"/>
      <c r="I36" s="1414"/>
      <c r="J36" s="1404">
        <f>(J34-J35)/J34</f>
        <v>0.80952380952380953</v>
      </c>
      <c r="K36" s="325"/>
    </row>
    <row r="37" spans="2:11" ht="20.100000000000001" customHeight="1">
      <c r="B37" s="325"/>
      <c r="C37" s="1414"/>
      <c r="D37" s="1414"/>
      <c r="E37" s="1414"/>
      <c r="F37" s="1414"/>
      <c r="G37" s="1404">
        <f>(G34-G35)/G34</f>
        <v>0.82857142857142851</v>
      </c>
      <c r="H37" s="1414"/>
      <c r="I37" s="1414"/>
      <c r="J37" s="1414"/>
      <c r="K37" s="325"/>
    </row>
    <row r="38" spans="2:11" ht="36" customHeight="1">
      <c r="B38" s="325"/>
      <c r="C38" s="1392" t="s">
        <v>1</v>
      </c>
      <c r="D38" s="1392" t="s">
        <v>531</v>
      </c>
      <c r="E38" s="1392" t="s">
        <v>496</v>
      </c>
      <c r="F38" s="1392" t="s">
        <v>192</v>
      </c>
      <c r="G38" s="1392" t="s">
        <v>400</v>
      </c>
      <c r="H38" s="1392" t="s">
        <v>497</v>
      </c>
      <c r="I38" s="1392" t="s">
        <v>498</v>
      </c>
      <c r="J38" s="1392" t="s">
        <v>7</v>
      </c>
      <c r="K38" s="325"/>
    </row>
    <row r="39" spans="2:11" ht="20.100000000000001" customHeight="1">
      <c r="B39" s="325"/>
      <c r="C39" s="1393" t="s">
        <v>115</v>
      </c>
      <c r="D39" s="1410">
        <v>4.5</v>
      </c>
      <c r="E39" s="1411">
        <v>2500</v>
      </c>
      <c r="F39" s="1412">
        <f>708030/1000</f>
        <v>708.03</v>
      </c>
      <c r="G39" s="1415">
        <f>(E39*F39)</f>
        <v>1770075</v>
      </c>
      <c r="H39" s="1413">
        <v>1.65</v>
      </c>
      <c r="I39" s="1396">
        <f>(F39)/H39</f>
        <v>429.10909090909092</v>
      </c>
      <c r="J39" s="1400">
        <f>(G39/I39)</f>
        <v>4125</v>
      </c>
      <c r="K39" s="325"/>
    </row>
    <row r="40" spans="2:11" ht="37.5">
      <c r="B40" s="325"/>
      <c r="C40" s="1401" t="s">
        <v>503</v>
      </c>
      <c r="D40" s="1410">
        <v>4.5</v>
      </c>
      <c r="E40" s="1411">
        <v>2000</v>
      </c>
      <c r="F40" s="1412">
        <f>708030/1000</f>
        <v>708.03</v>
      </c>
      <c r="G40" s="1415">
        <f>(E40*F40)</f>
        <v>1416060</v>
      </c>
      <c r="H40" s="1413">
        <v>1.65</v>
      </c>
      <c r="I40" s="1396">
        <f>(F40)/H40</f>
        <v>429.10909090909092</v>
      </c>
      <c r="J40" s="1402">
        <f>(G40/I40)</f>
        <v>3300</v>
      </c>
      <c r="K40" s="325"/>
    </row>
    <row r="41" spans="2:11" ht="20.100000000000001" customHeight="1">
      <c r="B41" s="325"/>
      <c r="C41" s="1414"/>
      <c r="D41" s="1414"/>
      <c r="E41" s="1414"/>
      <c r="F41" s="1414"/>
      <c r="G41" s="1416">
        <f>(G39-G40)</f>
        <v>354015</v>
      </c>
      <c r="H41" s="1414"/>
      <c r="I41" s="1414"/>
      <c r="J41" s="1404">
        <f>(J39-J40)/J39</f>
        <v>0.2</v>
      </c>
      <c r="K41" s="325"/>
    </row>
    <row r="42" spans="2:11" ht="20.100000000000001" customHeight="1">
      <c r="B42" s="325"/>
      <c r="C42" s="1414"/>
      <c r="D42" s="1414"/>
      <c r="E42" s="1414"/>
      <c r="F42" s="1414"/>
      <c r="G42" s="1404">
        <f>(G39-G40)/G39</f>
        <v>0.2</v>
      </c>
      <c r="H42" s="1414"/>
      <c r="I42" s="1414"/>
      <c r="J42" s="1414"/>
      <c r="K42" s="325"/>
    </row>
    <row r="43" spans="2:11" ht="36" customHeight="1">
      <c r="B43" s="325"/>
      <c r="C43" s="1392" t="s">
        <v>1</v>
      </c>
      <c r="D43" s="1392" t="s">
        <v>495</v>
      </c>
      <c r="E43" s="1392" t="s">
        <v>496</v>
      </c>
      <c r="F43" s="1392" t="s">
        <v>192</v>
      </c>
      <c r="G43" s="1392" t="s">
        <v>400</v>
      </c>
      <c r="H43" s="1392" t="s">
        <v>497</v>
      </c>
      <c r="I43" s="1392" t="s">
        <v>498</v>
      </c>
      <c r="J43" s="1392" t="s">
        <v>7</v>
      </c>
      <c r="K43" s="325"/>
    </row>
    <row r="44" spans="2:11" ht="20.100000000000001" customHeight="1">
      <c r="B44" s="325"/>
      <c r="C44" s="1393" t="s">
        <v>116</v>
      </c>
      <c r="D44" s="1410">
        <v>3</v>
      </c>
      <c r="E44" s="1411">
        <v>4500</v>
      </c>
      <c r="F44" s="1412">
        <f>(52580/1000)</f>
        <v>52.58</v>
      </c>
      <c r="G44" s="1415">
        <f>(E44*F44)</f>
        <v>236610</v>
      </c>
      <c r="H44" s="1413">
        <v>1.1000000000000001</v>
      </c>
      <c r="I44" s="1396">
        <f>(F44)/H44</f>
        <v>47.8</v>
      </c>
      <c r="J44" s="1400">
        <f>(G44/I44)</f>
        <v>4950</v>
      </c>
      <c r="K44" s="325"/>
    </row>
    <row r="45" spans="2:11" ht="37.5">
      <c r="B45" s="325"/>
      <c r="C45" s="1401" t="s">
        <v>504</v>
      </c>
      <c r="D45" s="1410">
        <v>3</v>
      </c>
      <c r="E45" s="1411">
        <v>3500</v>
      </c>
      <c r="F45" s="1412">
        <f>(52580/1000)</f>
        <v>52.58</v>
      </c>
      <c r="G45" s="1415">
        <f>(E45*F45)</f>
        <v>184030</v>
      </c>
      <c r="H45" s="1413">
        <v>1.1000000000000001</v>
      </c>
      <c r="I45" s="1396">
        <f>(F45)/H45</f>
        <v>47.8</v>
      </c>
      <c r="J45" s="1402">
        <f>(G45/I45)</f>
        <v>3850.0000000000005</v>
      </c>
      <c r="K45" s="325"/>
    </row>
    <row r="46" spans="2:11" ht="20.100000000000001" customHeight="1">
      <c r="B46" s="325"/>
      <c r="C46" s="1414"/>
      <c r="D46" s="1414"/>
      <c r="E46" s="1414"/>
      <c r="F46" s="1414"/>
      <c r="G46" s="1416">
        <f>(G44-G45)</f>
        <v>52580</v>
      </c>
      <c r="H46" s="1414"/>
      <c r="I46" s="1414"/>
      <c r="J46" s="1404">
        <f>(J44-J45)/J44</f>
        <v>0.22222222222222213</v>
      </c>
      <c r="K46" s="325"/>
    </row>
    <row r="47" spans="2:11" ht="20.100000000000001" customHeight="1">
      <c r="B47" s="325"/>
      <c r="C47" s="1414"/>
      <c r="D47" s="1414"/>
      <c r="E47" s="1414"/>
      <c r="F47" s="1414"/>
      <c r="G47" s="1404">
        <f>(G44-G45)/G44</f>
        <v>0.22222222222222221</v>
      </c>
      <c r="H47" s="1414"/>
      <c r="I47" s="1414"/>
      <c r="J47" s="1414"/>
      <c r="K47" s="325"/>
    </row>
    <row r="48" spans="2:11" ht="15" customHeight="1">
      <c r="B48" s="325"/>
    </row>
    <row r="49" spans="13:26" ht="15" customHeight="1"/>
    <row r="50" spans="13:26">
      <c r="N50" s="1137" t="s">
        <v>704</v>
      </c>
    </row>
    <row r="51" spans="13:26" ht="51">
      <c r="N51" s="1114" t="s">
        <v>2</v>
      </c>
      <c r="O51" s="1018"/>
      <c r="P51" s="1117" t="s">
        <v>531</v>
      </c>
      <c r="Q51" s="1114" t="s">
        <v>701</v>
      </c>
      <c r="R51" s="1114" t="s">
        <v>697</v>
      </c>
      <c r="S51" s="1118" t="s">
        <v>702</v>
      </c>
      <c r="T51" s="1114" t="s">
        <v>698</v>
      </c>
      <c r="U51" s="1131"/>
      <c r="V51" s="1116" t="s">
        <v>700</v>
      </c>
      <c r="W51" s="1114" t="s">
        <v>699</v>
      </c>
      <c r="X51" s="1115" t="s">
        <v>703</v>
      </c>
      <c r="Y51" s="1116" t="s">
        <v>700</v>
      </c>
    </row>
    <row r="52" spans="13:26">
      <c r="M52" s="1136"/>
      <c r="N52" s="1114"/>
      <c r="O52" s="1018"/>
      <c r="P52" s="1117"/>
      <c r="Q52" s="1114"/>
      <c r="R52" s="1114"/>
      <c r="S52" s="1118"/>
      <c r="T52" s="1114"/>
      <c r="U52" s="1131"/>
      <c r="V52" s="1116"/>
      <c r="W52" s="1114"/>
      <c r="X52" s="1115"/>
      <c r="Y52" s="1116"/>
    </row>
    <row r="53" spans="13:26" ht="76.5">
      <c r="M53" s="1136"/>
      <c r="N53" s="1009" t="s">
        <v>51</v>
      </c>
      <c r="O53" s="1256" t="s">
        <v>695</v>
      </c>
      <c r="P53" s="1010">
        <v>2</v>
      </c>
      <c r="Q53" s="1015">
        <f>(166.337781290215)*1.2</f>
        <v>199.60533754825798</v>
      </c>
      <c r="R53" s="1014">
        <v>240</v>
      </c>
      <c r="S53" s="1012">
        <f>(R53-Q53)/Q53</f>
        <v>0.20237265670300988</v>
      </c>
      <c r="T53" s="1014">
        <v>350</v>
      </c>
      <c r="U53" s="1014"/>
      <c r="V53" s="1019">
        <f>((P53*500)/1000)*T53</f>
        <v>350</v>
      </c>
      <c r="W53" s="1011">
        <v>285</v>
      </c>
      <c r="X53" s="1012">
        <f>(W53-Q53)/Q53</f>
        <v>0.42781752983482424</v>
      </c>
      <c r="Y53" s="1017">
        <f>((P53*500)/1000)*W53</f>
        <v>285</v>
      </c>
    </row>
    <row r="54" spans="13:26" ht="76.5">
      <c r="M54" s="1136"/>
      <c r="N54" s="1009" t="s">
        <v>637</v>
      </c>
      <c r="O54" s="1256" t="s">
        <v>696</v>
      </c>
      <c r="P54" s="1010">
        <v>2</v>
      </c>
      <c r="Q54" s="1015">
        <f>(224.636054882534)*1.2</f>
        <v>269.56326585904083</v>
      </c>
      <c r="R54" s="1014">
        <v>299</v>
      </c>
      <c r="S54" s="1012">
        <f>(R54-Q54)/Q54</f>
        <v>0.10920157851312033</v>
      </c>
      <c r="T54" s="1014">
        <v>350</v>
      </c>
      <c r="U54" s="1014"/>
      <c r="V54" s="1019">
        <f>((P54*500)/1000)*T54</f>
        <v>350</v>
      </c>
      <c r="W54" s="1011">
        <v>385</v>
      </c>
      <c r="X54" s="1012">
        <f>(W54-Q54)/Q54</f>
        <v>0.42823614624599105</v>
      </c>
      <c r="Y54" s="1017">
        <f>((P54*500)/1000)*W54</f>
        <v>385</v>
      </c>
    </row>
    <row r="55" spans="13:26" ht="127.5">
      <c r="M55" s="1136"/>
      <c r="N55" s="1013" t="s">
        <v>641</v>
      </c>
      <c r="O55" s="1256" t="s">
        <v>694</v>
      </c>
      <c r="P55" s="1010">
        <v>4</v>
      </c>
      <c r="Q55" s="1015">
        <f>(87.1453333333333)*1.1</f>
        <v>95.859866666666633</v>
      </c>
      <c r="R55" s="1014">
        <v>110</v>
      </c>
      <c r="S55" s="1012">
        <f>(R55-Q55)/Q55</f>
        <v>0.14750837681115112</v>
      </c>
      <c r="T55" s="1014">
        <v>145</v>
      </c>
      <c r="U55" s="1014"/>
      <c r="V55" s="1019">
        <f>((P55*500)/1000)*T55</f>
        <v>290</v>
      </c>
      <c r="W55" s="1011">
        <v>150</v>
      </c>
      <c r="X55" s="1012">
        <f>(W55-Q55)/Q55</f>
        <v>0.56478415019702422</v>
      </c>
      <c r="Y55" s="1017">
        <f>((P55*500)/1000)*W55</f>
        <v>300</v>
      </c>
    </row>
    <row r="56" spans="13:26" ht="76.5">
      <c r="M56" s="1136"/>
      <c r="N56" s="1013" t="s">
        <v>691</v>
      </c>
      <c r="O56" s="1256" t="s">
        <v>693</v>
      </c>
      <c r="P56" s="1010">
        <v>30</v>
      </c>
      <c r="Q56" s="1015">
        <f>(31.9)*1.1</f>
        <v>35.090000000000003</v>
      </c>
      <c r="R56" s="1014">
        <v>40</v>
      </c>
      <c r="S56" s="1012">
        <f>(R56-Q56)/Q56</f>
        <v>0.13992590481618683</v>
      </c>
      <c r="T56" s="1014">
        <v>80</v>
      </c>
      <c r="U56" s="1014"/>
      <c r="V56" s="1019">
        <f>((P56*500)/1000)*T56</f>
        <v>1200</v>
      </c>
      <c r="W56" s="1011">
        <v>55</v>
      </c>
      <c r="X56" s="1012">
        <f>(W56-Q56)/Q56</f>
        <v>0.56739811912225691</v>
      </c>
      <c r="Y56" s="1017">
        <f>((P56*357/1000)*W56)</f>
        <v>589.05000000000007</v>
      </c>
    </row>
    <row r="57" spans="13:26">
      <c r="M57" s="1136"/>
    </row>
    <row r="58" spans="13:26">
      <c r="M58" s="1136"/>
    </row>
    <row r="60" spans="13:26">
      <c r="N60" s="1135">
        <v>45348</v>
      </c>
      <c r="R60" s="1134" t="s">
        <v>959</v>
      </c>
      <c r="S60" s="1134"/>
      <c r="T60" s="1134"/>
      <c r="V60" s="1134" t="s">
        <v>960</v>
      </c>
      <c r="W60" s="1134"/>
      <c r="X60" s="1134"/>
    </row>
    <row r="61" spans="13:26" ht="60">
      <c r="N61" s="1128" t="s">
        <v>2</v>
      </c>
      <c r="O61" s="1129"/>
      <c r="P61" s="1129" t="s">
        <v>531</v>
      </c>
      <c r="Q61" s="1128" t="s">
        <v>805</v>
      </c>
      <c r="R61" s="1128" t="s">
        <v>812</v>
      </c>
      <c r="S61" s="1130" t="s">
        <v>702</v>
      </c>
      <c r="T61" s="1128" t="s">
        <v>806</v>
      </c>
      <c r="U61" s="1132"/>
      <c r="V61" s="1128" t="s">
        <v>811</v>
      </c>
      <c r="W61" s="1130" t="s">
        <v>807</v>
      </c>
      <c r="X61" s="1116" t="s">
        <v>700</v>
      </c>
      <c r="Z61" s="131"/>
    </row>
    <row r="62" spans="13:26" ht="76.5">
      <c r="N62" s="1009" t="s">
        <v>51</v>
      </c>
      <c r="O62" s="1256" t="s">
        <v>695</v>
      </c>
      <c r="P62" s="1010">
        <v>2</v>
      </c>
      <c r="Q62" s="1015">
        <v>185.69641668558509</v>
      </c>
      <c r="R62" s="1014">
        <v>240</v>
      </c>
      <c r="S62" s="1012">
        <f>(R62-Q62)/Q62</f>
        <v>0.29243204733648631</v>
      </c>
      <c r="T62" s="1019">
        <f>((P62*500)/1000)*R62</f>
        <v>240</v>
      </c>
      <c r="U62" s="1133"/>
      <c r="V62" s="1014">
        <v>350</v>
      </c>
      <c r="W62" s="1012">
        <f>(V62-Q62)/Q62</f>
        <v>0.8847967356990426</v>
      </c>
      <c r="X62" s="1019">
        <f>((P62*500)/1000)*V62</f>
        <v>350</v>
      </c>
      <c r="Z62" s="674"/>
    </row>
    <row r="63" spans="13:26" ht="76.5">
      <c r="N63" s="1009" t="s">
        <v>637</v>
      </c>
      <c r="O63" s="1256" t="s">
        <v>696</v>
      </c>
      <c r="P63" s="1010">
        <v>2</v>
      </c>
      <c r="Q63" s="1015">
        <v>227.96704913268309</v>
      </c>
      <c r="R63" s="1014">
        <v>299</v>
      </c>
      <c r="S63" s="1012">
        <f>(R63-Q63)/Q63</f>
        <v>0.31159306196911724</v>
      </c>
      <c r="T63" s="1019">
        <f>((P63*500)/1000)*R63</f>
        <v>299</v>
      </c>
      <c r="U63" s="1133"/>
      <c r="V63" s="1014">
        <v>350</v>
      </c>
      <c r="W63" s="1012">
        <f>(V63-Q63)/Q63</f>
        <v>0.53530960431167574</v>
      </c>
      <c r="X63" s="1019">
        <f>((P63*500)/1000)*V63</f>
        <v>350</v>
      </c>
      <c r="Z63" s="674"/>
    </row>
    <row r="64" spans="13:26" ht="127.5">
      <c r="N64" s="1013" t="s">
        <v>641</v>
      </c>
      <c r="O64" s="1256" t="s">
        <v>694</v>
      </c>
      <c r="P64" s="1010">
        <v>4</v>
      </c>
      <c r="Q64" s="1015">
        <v>78.623467754476181</v>
      </c>
      <c r="R64" s="1014">
        <v>110</v>
      </c>
      <c r="S64" s="1012">
        <f>(R64-Q64)/Q64</f>
        <v>0.39907337009740956</v>
      </c>
      <c r="T64" s="1019">
        <f>((P64*500)/1000)*R64</f>
        <v>220</v>
      </c>
      <c r="U64" s="1133"/>
      <c r="V64" s="1014">
        <v>145</v>
      </c>
      <c r="W64" s="1012">
        <f>(V64-Q64)/Q64</f>
        <v>0.84423307876476716</v>
      </c>
      <c r="X64" s="1019">
        <f>((P64*500)/1000)*V64</f>
        <v>290</v>
      </c>
      <c r="Z64" s="674"/>
    </row>
    <row r="65" spans="14:26" ht="76.5">
      <c r="N65" s="1013" t="s">
        <v>691</v>
      </c>
      <c r="O65" s="1256" t="s">
        <v>693</v>
      </c>
      <c r="P65" s="1127">
        <v>30</v>
      </c>
      <c r="Q65" s="1015">
        <v>30.262150158730158</v>
      </c>
      <c r="R65" s="1014">
        <v>40</v>
      </c>
      <c r="S65" s="1012">
        <f>(R65-Q65)/Q65</f>
        <v>0.32178314462763397</v>
      </c>
      <c r="T65" s="1019">
        <f>((P65*357)/1000)*R65</f>
        <v>428.40000000000003</v>
      </c>
      <c r="U65" s="1133"/>
      <c r="V65" s="1014">
        <v>80</v>
      </c>
      <c r="W65" s="1012">
        <f>(V65-Q65)/Q65</f>
        <v>1.6435662892552678</v>
      </c>
      <c r="X65" s="1019">
        <f>((P65*357)/1000)*V65</f>
        <v>856.80000000000007</v>
      </c>
      <c r="Z65" s="475"/>
    </row>
    <row r="66" spans="14:26">
      <c r="Z66" s="78"/>
    </row>
    <row r="68" spans="14:26">
      <c r="R68" s="1134" t="s">
        <v>808</v>
      </c>
      <c r="S68" s="1134"/>
      <c r="T68" s="1134"/>
    </row>
    <row r="69" spans="14:26" ht="63">
      <c r="N69" s="1264" t="s">
        <v>2</v>
      </c>
      <c r="O69" s="1265" t="s">
        <v>887</v>
      </c>
      <c r="P69" s="1265" t="s">
        <v>888</v>
      </c>
      <c r="Q69" s="1264" t="s">
        <v>813</v>
      </c>
      <c r="R69" s="1264" t="s">
        <v>889</v>
      </c>
      <c r="S69" s="1264" t="s">
        <v>702</v>
      </c>
      <c r="T69" s="1264" t="s">
        <v>890</v>
      </c>
      <c r="U69" s="1132"/>
    </row>
    <row r="70" spans="14:26" ht="76.5">
      <c r="N70" s="1266" t="s">
        <v>51</v>
      </c>
      <c r="O70" s="1256" t="s">
        <v>695</v>
      </c>
      <c r="P70" s="1262">
        <v>2</v>
      </c>
      <c r="Q70" s="1268">
        <v>193.16575001891843</v>
      </c>
      <c r="R70" s="1257">
        <v>245</v>
      </c>
      <c r="S70" s="1258">
        <f>(R70-Q70)/Q70</f>
        <v>0.26834079010386147</v>
      </c>
      <c r="T70" s="1259">
        <f>((P70*500)/1000)*R70</f>
        <v>245</v>
      </c>
      <c r="U70" s="1133"/>
      <c r="V70" s="472">
        <f>(R70-R62)/R62</f>
        <v>2.0833333333333332E-2</v>
      </c>
      <c r="W70" s="472"/>
    </row>
    <row r="71" spans="14:26" ht="76.5">
      <c r="N71" s="1266" t="s">
        <v>637</v>
      </c>
      <c r="O71" s="1256" t="s">
        <v>886</v>
      </c>
      <c r="P71" s="1262">
        <v>2</v>
      </c>
      <c r="Q71" s="1268">
        <v>235.43638246601643</v>
      </c>
      <c r="R71" s="1257">
        <v>300</v>
      </c>
      <c r="S71" s="1258">
        <f>(R71-Q71)/Q71</f>
        <v>0.27422956833488926</v>
      </c>
      <c r="T71" s="1259">
        <f>((P71*500)/1000)*R71</f>
        <v>300</v>
      </c>
      <c r="U71" s="1133"/>
      <c r="V71" s="472">
        <f>(R71-R63)/R63</f>
        <v>3.3444816053511705E-3</v>
      </c>
      <c r="W71" s="472"/>
    </row>
    <row r="72" spans="14:26" ht="127.5">
      <c r="N72" s="1267" t="s">
        <v>641</v>
      </c>
      <c r="O72" s="1256" t="s">
        <v>694</v>
      </c>
      <c r="P72" s="1262">
        <v>4</v>
      </c>
      <c r="Q72" s="1268">
        <v>86.092801087809534</v>
      </c>
      <c r="R72" s="1257">
        <v>112.5</v>
      </c>
      <c r="S72" s="1258">
        <f>(R72-Q72)/Q72</f>
        <v>0.30672946609388041</v>
      </c>
      <c r="T72" s="1259">
        <f>((P72*500)/1000)*R72</f>
        <v>225</v>
      </c>
      <c r="U72" s="1133"/>
      <c r="V72" s="472">
        <f>(R72-R64)/R64</f>
        <v>2.2727272727272728E-2</v>
      </c>
      <c r="W72" s="472"/>
    </row>
    <row r="73" spans="14:26" ht="76.5">
      <c r="N73" s="1267" t="s">
        <v>691</v>
      </c>
      <c r="O73" s="1256" t="s">
        <v>693</v>
      </c>
      <c r="P73" s="1263">
        <v>30</v>
      </c>
      <c r="Q73" s="1268">
        <v>30.262150158730158</v>
      </c>
      <c r="R73" s="1257">
        <v>45</v>
      </c>
      <c r="S73" s="1258">
        <f>(R73-Q73)/Q73</f>
        <v>0.48700603770608819</v>
      </c>
      <c r="T73" s="1259">
        <f>((P73*357)/1000)*R73</f>
        <v>481.95000000000005</v>
      </c>
      <c r="U73" s="1133"/>
      <c r="V73" s="472">
        <f>(R73-R65)/R65</f>
        <v>0.125</v>
      </c>
    </row>
    <row r="78" spans="14:26">
      <c r="R78" s="1679" t="s">
        <v>809</v>
      </c>
      <c r="S78" s="1679"/>
      <c r="T78" s="1679"/>
    </row>
    <row r="79" spans="14:26" ht="78.75">
      <c r="N79" s="1264" t="s">
        <v>2</v>
      </c>
      <c r="O79" s="1265" t="s">
        <v>887</v>
      </c>
      <c r="P79" s="1265" t="s">
        <v>888</v>
      </c>
      <c r="Q79" s="1264" t="s">
        <v>810</v>
      </c>
      <c r="R79" s="1264" t="s">
        <v>889</v>
      </c>
      <c r="S79" s="1264" t="s">
        <v>702</v>
      </c>
      <c r="T79" s="1264" t="s">
        <v>890</v>
      </c>
      <c r="U79" s="1132"/>
    </row>
    <row r="80" spans="14:26" ht="76.5">
      <c r="N80" s="1260" t="s">
        <v>51</v>
      </c>
      <c r="O80" s="1256" t="s">
        <v>695</v>
      </c>
      <c r="P80" s="1262">
        <v>2</v>
      </c>
      <c r="Q80" s="1015">
        <v>210.66575001891843</v>
      </c>
      <c r="R80" s="1257">
        <v>285</v>
      </c>
      <c r="S80" s="1258">
        <f>(R80-Q80)/Q80</f>
        <v>0.35285398777165311</v>
      </c>
      <c r="T80" s="1259">
        <f>((P80*500)/1000)*R80</f>
        <v>285</v>
      </c>
      <c r="U80" s="1133"/>
      <c r="V80" s="472">
        <f>(R80-R70)/R70</f>
        <v>0.16326530612244897</v>
      </c>
    </row>
    <row r="81" spans="14:22" ht="76.5">
      <c r="N81" s="1260" t="s">
        <v>637</v>
      </c>
      <c r="O81" s="1256" t="s">
        <v>886</v>
      </c>
      <c r="P81" s="1262">
        <v>2</v>
      </c>
      <c r="Q81" s="1015">
        <v>252.93638246601643</v>
      </c>
      <c r="R81" s="1257">
        <v>350</v>
      </c>
      <c r="S81" s="1258">
        <f>(R81-Q81)/Q81</f>
        <v>0.38374715644960516</v>
      </c>
      <c r="T81" s="1259">
        <f>((P81*500)/1000)*R81</f>
        <v>350</v>
      </c>
      <c r="U81" s="1133"/>
      <c r="V81" s="472">
        <f>(R81-R71)/R71</f>
        <v>0.16666666666666666</v>
      </c>
    </row>
    <row r="82" spans="14:22" ht="127.5">
      <c r="N82" s="1261" t="s">
        <v>641</v>
      </c>
      <c r="O82" s="1256" t="s">
        <v>694</v>
      </c>
      <c r="P82" s="1262">
        <v>4</v>
      </c>
      <c r="Q82" s="1015">
        <v>103.59280108780953</v>
      </c>
      <c r="R82" s="1257">
        <v>145</v>
      </c>
      <c r="S82" s="1258">
        <f>(R82-Q82)/Q82</f>
        <v>0.39971116214042729</v>
      </c>
      <c r="T82" s="1259">
        <f>((P82*500)/1000)*R82</f>
        <v>290</v>
      </c>
      <c r="U82" s="1133"/>
      <c r="V82" s="472">
        <f>(R82-R72)/R72</f>
        <v>0.28888888888888886</v>
      </c>
    </row>
    <row r="83" spans="14:22" ht="76.5">
      <c r="N83" s="1261" t="s">
        <v>691</v>
      </c>
      <c r="O83" s="1256" t="s">
        <v>693</v>
      </c>
      <c r="P83" s="1263">
        <v>30</v>
      </c>
      <c r="Q83" s="1015">
        <v>46.262150158730151</v>
      </c>
      <c r="R83" s="1257">
        <v>60</v>
      </c>
      <c r="S83" s="1258">
        <f>(R83-Q83)/Q83</f>
        <v>0.29695657884758675</v>
      </c>
      <c r="T83" s="1259">
        <f>((P83*357)/1000)*R83</f>
        <v>642.6</v>
      </c>
      <c r="U83" s="1133"/>
      <c r="V83" s="472">
        <f>(R83-R73)/R73</f>
        <v>0.33333333333333331</v>
      </c>
    </row>
    <row r="99" spans="14:25">
      <c r="N99" s="1126">
        <v>45348</v>
      </c>
      <c r="Q99" t="s">
        <v>802</v>
      </c>
      <c r="R99" t="s">
        <v>803</v>
      </c>
    </row>
    <row r="100" spans="14:25">
      <c r="N100" s="1680" t="s">
        <v>2</v>
      </c>
      <c r="O100" s="1018"/>
      <c r="P100" s="1683" t="s">
        <v>531</v>
      </c>
      <c r="Q100" s="1680" t="s">
        <v>804</v>
      </c>
      <c r="R100" s="1680" t="s">
        <v>697</v>
      </c>
      <c r="S100" s="1684" t="s">
        <v>702</v>
      </c>
      <c r="T100" s="1680" t="s">
        <v>698</v>
      </c>
      <c r="U100" s="1131"/>
      <c r="V100" s="1681" t="s">
        <v>700</v>
      </c>
      <c r="W100" s="1680" t="s">
        <v>699</v>
      </c>
      <c r="X100" s="1682" t="s">
        <v>703</v>
      </c>
      <c r="Y100" s="1681" t="s">
        <v>700</v>
      </c>
    </row>
    <row r="101" spans="14:25">
      <c r="N101" s="1680"/>
      <c r="O101" s="1018"/>
      <c r="P101" s="1683"/>
      <c r="Q101" s="1680"/>
      <c r="R101" s="1680"/>
      <c r="S101" s="1684"/>
      <c r="T101" s="1680"/>
      <c r="U101" s="1131"/>
      <c r="V101" s="1681"/>
      <c r="W101" s="1680"/>
      <c r="X101" s="1682"/>
      <c r="Y101" s="1681"/>
    </row>
    <row r="102" spans="14:25">
      <c r="N102" s="1009" t="s">
        <v>51</v>
      </c>
      <c r="O102" s="1016" t="s">
        <v>695</v>
      </c>
      <c r="P102" s="1010">
        <v>2</v>
      </c>
      <c r="Q102" s="1015">
        <v>193.165750018918</v>
      </c>
      <c r="R102" s="1014">
        <v>240</v>
      </c>
      <c r="S102" s="1012">
        <f>(R102-Q102)/Q102</f>
        <v>0.24245628418337725</v>
      </c>
      <c r="T102" s="1014">
        <v>350</v>
      </c>
      <c r="U102" s="1014"/>
      <c r="V102" s="1019">
        <f>((P102*500)/1000)*T102</f>
        <v>350</v>
      </c>
      <c r="W102" s="1011">
        <v>285</v>
      </c>
      <c r="X102" s="1012">
        <f>(W102-Q102)/Q102</f>
        <v>0.47541683746776048</v>
      </c>
      <c r="Y102" s="1017">
        <f>((P102*500)/1000)*W102</f>
        <v>285</v>
      </c>
    </row>
    <row r="103" spans="14:25">
      <c r="N103" s="1009" t="s">
        <v>637</v>
      </c>
      <c r="O103" s="1016" t="s">
        <v>696</v>
      </c>
      <c r="P103" s="1010">
        <v>2</v>
      </c>
      <c r="Q103" s="1015">
        <v>235.436382466016</v>
      </c>
      <c r="R103" s="1014">
        <v>299</v>
      </c>
      <c r="S103" s="1012">
        <f>(R103-Q103)/Q103</f>
        <v>0.26998213644044194</v>
      </c>
      <c r="T103" s="1014">
        <v>350</v>
      </c>
      <c r="U103" s="1014"/>
      <c r="V103" s="1019">
        <f>((P103*500)/1000)*T103</f>
        <v>350</v>
      </c>
      <c r="W103" s="1011">
        <v>385</v>
      </c>
      <c r="X103" s="1012">
        <f>(W103-Q103)/Q103</f>
        <v>0.63526127936311083</v>
      </c>
      <c r="Y103" s="1017">
        <f>((P103*500)/1000)*W103</f>
        <v>385</v>
      </c>
    </row>
    <row r="104" spans="14:25">
      <c r="N104" s="1013" t="s">
        <v>641</v>
      </c>
      <c r="O104" s="1016" t="s">
        <v>694</v>
      </c>
      <c r="P104" s="1010">
        <v>4</v>
      </c>
      <c r="Q104" s="1015">
        <v>86.092801087809505</v>
      </c>
      <c r="R104" s="1014">
        <v>110</v>
      </c>
      <c r="S104" s="1012">
        <f>(R104-Q104)/Q104</f>
        <v>0.27769103351401686</v>
      </c>
      <c r="T104" s="1014">
        <v>145</v>
      </c>
      <c r="U104" s="1014"/>
      <c r="V104" s="1019">
        <f>((P104*500)/1000)*T104</f>
        <v>290</v>
      </c>
      <c r="W104" s="1011">
        <v>150</v>
      </c>
      <c r="X104" s="1012">
        <f>(W104-Q104)/Q104</f>
        <v>0.74230595479184114</v>
      </c>
      <c r="Y104" s="1017">
        <f>((P104*500)/1000)*W104</f>
        <v>300</v>
      </c>
    </row>
    <row r="105" spans="14:25">
      <c r="N105" s="1013" t="s">
        <v>691</v>
      </c>
      <c r="O105" s="1016" t="s">
        <v>693</v>
      </c>
      <c r="P105" s="1010">
        <v>30</v>
      </c>
      <c r="Q105" s="1015">
        <v>33.4</v>
      </c>
      <c r="R105" s="1014">
        <v>40</v>
      </c>
      <c r="S105" s="1012">
        <f>(R105-Q105)/Q105</f>
        <v>0.19760479041916174</v>
      </c>
      <c r="T105" s="1014">
        <v>80</v>
      </c>
      <c r="U105" s="1014"/>
      <c r="V105" s="1019">
        <f>((P105*500)/1000)*T105</f>
        <v>1200</v>
      </c>
      <c r="W105" s="1011">
        <v>55</v>
      </c>
      <c r="X105" s="1012">
        <f>(W105-Q105)/Q105</f>
        <v>0.64670658682634741</v>
      </c>
      <c r="Y105" s="1017">
        <f>((P105*357/1000)*W105)</f>
        <v>589.05000000000007</v>
      </c>
    </row>
  </sheetData>
  <mergeCells count="11">
    <mergeCell ref="Y100:Y101"/>
    <mergeCell ref="N100:N101"/>
    <mergeCell ref="P100:P101"/>
    <mergeCell ref="Q100:Q101"/>
    <mergeCell ref="R100:R101"/>
    <mergeCell ref="S100:S101"/>
    <mergeCell ref="R78:T78"/>
    <mergeCell ref="T100:T101"/>
    <mergeCell ref="V100:V101"/>
    <mergeCell ref="W100:W101"/>
    <mergeCell ref="X100:X101"/>
  </mergeCells>
  <pageMargins left="0.70866141732283472" right="0.70866141732283472" top="0.74803149606299213" bottom="0.74803149606299213" header="0.31496062992125984" footer="0.31496062992125984"/>
  <pageSetup paperSize="9" scale="65" orientation="landscape" horizontalDpi="1200" verticalDpi="12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5CCC-3604-44A5-BEEA-CC40B1E67832}">
  <sheetPr>
    <tabColor rgb="FF7030A0"/>
  </sheetPr>
  <dimension ref="C1:BA41"/>
  <sheetViews>
    <sheetView workbookViewId="0">
      <selection activeCell="I11" sqref="I11:L11"/>
    </sheetView>
  </sheetViews>
  <sheetFormatPr baseColWidth="10" defaultColWidth="14.42578125" defaultRowHeight="15" customHeight="1"/>
  <cols>
    <col min="1" max="2" width="4.140625" style="99" customWidth="1"/>
    <col min="3" max="3" width="16.140625" style="99" customWidth="1"/>
    <col min="4" max="4" width="17" style="99" customWidth="1"/>
    <col min="5" max="17" width="12.7109375" style="105" bestFit="1" customWidth="1"/>
    <col min="18" max="18" width="8.7109375" style="105" bestFit="1" customWidth="1"/>
    <col min="19" max="19" width="25.42578125" style="99" customWidth="1"/>
    <col min="20" max="20" width="17" style="99" customWidth="1"/>
    <col min="21" max="33" width="12.7109375" style="105" bestFit="1" customWidth="1"/>
    <col min="34" max="34" width="8.7109375" style="105" customWidth="1"/>
    <col min="35" max="42" width="8.7109375" style="105" bestFit="1" customWidth="1"/>
    <col min="43" max="43" width="14.5703125" style="105" customWidth="1"/>
    <col min="44" max="53" width="8.7109375" style="105" bestFit="1" customWidth="1"/>
    <col min="54" max="16384" width="14.42578125" style="99"/>
  </cols>
  <sheetData>
    <row r="1" spans="3:53" s="101" customFormat="1" ht="13.5" customHeight="1">
      <c r="C1" s="100" t="s">
        <v>115</v>
      </c>
      <c r="D1" s="104">
        <f>(D7+D15+D23+D31)</f>
        <v>838.2</v>
      </c>
      <c r="E1" s="105"/>
      <c r="F1" s="105"/>
      <c r="G1" s="105"/>
      <c r="H1" s="105"/>
      <c r="I1" s="105"/>
      <c r="J1" s="105"/>
      <c r="K1" s="105"/>
      <c r="L1" s="105"/>
      <c r="M1" s="105"/>
      <c r="N1" s="105"/>
      <c r="O1" s="105"/>
      <c r="P1" s="105"/>
      <c r="Q1" s="105"/>
      <c r="R1" s="105"/>
      <c r="S1" s="106" t="s">
        <v>115</v>
      </c>
      <c r="T1" s="104">
        <f>(T7+T15+T23+T31)</f>
        <v>690</v>
      </c>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row>
    <row r="2" spans="3:53" ht="20.25" customHeight="1" thickBot="1">
      <c r="C2" s="100" t="s">
        <v>116</v>
      </c>
      <c r="D2" s="1202">
        <f>(D8+D16+D24+D32)</f>
        <v>147.23000000000002</v>
      </c>
      <c r="S2" s="106" t="s">
        <v>116</v>
      </c>
      <c r="T2" s="104">
        <f>SUM(T8+T16+T24+T32)</f>
        <v>255</v>
      </c>
    </row>
    <row r="3" spans="3:53" ht="15" customHeight="1">
      <c r="C3" s="100" t="s">
        <v>117</v>
      </c>
      <c r="D3" s="107">
        <f>(D9+D17+D25+D33)</f>
        <v>282000</v>
      </c>
      <c r="E3" s="108">
        <v>44927</v>
      </c>
      <c r="F3" s="109"/>
      <c r="G3" s="109"/>
      <c r="H3" s="110"/>
      <c r="I3" s="108">
        <v>44958</v>
      </c>
      <c r="J3" s="109"/>
      <c r="K3" s="109"/>
      <c r="L3" s="110"/>
      <c r="M3" s="108">
        <v>44986</v>
      </c>
      <c r="N3" s="109"/>
      <c r="O3" s="109"/>
      <c r="P3" s="109"/>
      <c r="Q3" s="110"/>
      <c r="S3" s="106" t="s">
        <v>117</v>
      </c>
      <c r="T3" s="107">
        <f>(T9+T17+T25+T33)</f>
        <v>400000</v>
      </c>
      <c r="U3" s="108">
        <v>45292</v>
      </c>
      <c r="V3" s="109"/>
      <c r="W3" s="109"/>
      <c r="X3" s="109"/>
      <c r="Y3" s="112"/>
      <c r="Z3" s="113">
        <v>45323</v>
      </c>
      <c r="AA3" s="114"/>
      <c r="AB3" s="114"/>
      <c r="AC3" s="111"/>
      <c r="AD3" s="113">
        <v>45352</v>
      </c>
      <c r="AE3" s="114"/>
      <c r="AF3" s="114"/>
      <c r="AG3" s="115"/>
    </row>
    <row r="4" spans="3:53" ht="16.5" customHeight="1">
      <c r="E4" s="116">
        <f t="shared" ref="E4:Q4" si="0">WEEKNUM(E5,2)</f>
        <v>1</v>
      </c>
      <c r="F4" s="117">
        <f t="shared" si="0"/>
        <v>2</v>
      </c>
      <c r="G4" s="117">
        <f t="shared" si="0"/>
        <v>3</v>
      </c>
      <c r="H4" s="118">
        <f t="shared" si="0"/>
        <v>4</v>
      </c>
      <c r="I4" s="134">
        <f t="shared" si="0"/>
        <v>5</v>
      </c>
      <c r="J4" s="120">
        <f t="shared" si="0"/>
        <v>6</v>
      </c>
      <c r="K4" s="120">
        <f t="shared" si="0"/>
        <v>7</v>
      </c>
      <c r="L4" s="121">
        <f t="shared" si="0"/>
        <v>8</v>
      </c>
      <c r="M4" s="116">
        <f t="shared" si="0"/>
        <v>9</v>
      </c>
      <c r="N4" s="117">
        <f t="shared" si="0"/>
        <v>10</v>
      </c>
      <c r="O4" s="117">
        <f t="shared" si="0"/>
        <v>11</v>
      </c>
      <c r="P4" s="117">
        <f t="shared" si="0"/>
        <v>12</v>
      </c>
      <c r="Q4" s="118">
        <f t="shared" si="0"/>
        <v>13</v>
      </c>
      <c r="S4" s="122"/>
      <c r="U4" s="123">
        <f t="shared" ref="U4:AG4" si="1">WEEKNUM(U5,2)</f>
        <v>1</v>
      </c>
      <c r="V4" s="124">
        <f t="shared" si="1"/>
        <v>2</v>
      </c>
      <c r="W4" s="124">
        <f t="shared" si="1"/>
        <v>3</v>
      </c>
      <c r="X4" s="124">
        <f t="shared" si="1"/>
        <v>4</v>
      </c>
      <c r="Y4" s="124">
        <f t="shared" si="1"/>
        <v>5</v>
      </c>
      <c r="Z4" s="125">
        <f t="shared" si="1"/>
        <v>6</v>
      </c>
      <c r="AA4" s="125">
        <f t="shared" si="1"/>
        <v>7</v>
      </c>
      <c r="AB4" s="125">
        <f t="shared" si="1"/>
        <v>8</v>
      </c>
      <c r="AC4" s="125">
        <f t="shared" si="1"/>
        <v>9</v>
      </c>
      <c r="AD4" s="124">
        <f t="shared" si="1"/>
        <v>10</v>
      </c>
      <c r="AE4" s="124">
        <f t="shared" si="1"/>
        <v>11</v>
      </c>
      <c r="AF4" s="124">
        <f t="shared" si="1"/>
        <v>12</v>
      </c>
      <c r="AG4" s="126">
        <f t="shared" si="1"/>
        <v>13</v>
      </c>
    </row>
    <row r="5" spans="3:53" ht="15.75" customHeight="1">
      <c r="E5" s="1167">
        <v>44563</v>
      </c>
      <c r="F5" s="1168">
        <f>(E5+7)</f>
        <v>44570</v>
      </c>
      <c r="G5" s="1168">
        <f>(F5+7)</f>
        <v>44577</v>
      </c>
      <c r="H5" s="1169">
        <f>(G5+7)</f>
        <v>44584</v>
      </c>
      <c r="I5" s="1167">
        <f>(H5+7)</f>
        <v>44591</v>
      </c>
      <c r="J5" s="1168">
        <f t="shared" ref="J5:Q5" si="2">(I5+7)</f>
        <v>44598</v>
      </c>
      <c r="K5" s="1168">
        <f t="shared" si="2"/>
        <v>44605</v>
      </c>
      <c r="L5" s="1169">
        <f t="shared" si="2"/>
        <v>44612</v>
      </c>
      <c r="M5" s="1167">
        <f>(L5+7)</f>
        <v>44619</v>
      </c>
      <c r="N5" s="1168">
        <f t="shared" si="2"/>
        <v>44626</v>
      </c>
      <c r="O5" s="1168">
        <f t="shared" si="2"/>
        <v>44633</v>
      </c>
      <c r="P5" s="1168">
        <f t="shared" si="2"/>
        <v>44640</v>
      </c>
      <c r="Q5" s="1169">
        <f t="shared" si="2"/>
        <v>44647</v>
      </c>
      <c r="S5" s="122"/>
      <c r="U5" s="127">
        <v>45292</v>
      </c>
      <c r="V5" s="128">
        <f>(U5+7)</f>
        <v>45299</v>
      </c>
      <c r="W5" s="128">
        <f>(V5+7)</f>
        <v>45306</v>
      </c>
      <c r="X5" s="128">
        <f>(W5+7)</f>
        <v>45313</v>
      </c>
      <c r="Y5" s="128">
        <f>(X5+7)</f>
        <v>45320</v>
      </c>
      <c r="Z5" s="128">
        <f t="shared" ref="Z5:AB5" si="3">(Y5+7)</f>
        <v>45327</v>
      </c>
      <c r="AA5" s="128">
        <f t="shared" si="3"/>
        <v>45334</v>
      </c>
      <c r="AB5" s="128">
        <f t="shared" si="3"/>
        <v>45341</v>
      </c>
      <c r="AC5" s="128">
        <f>(AB5+7)</f>
        <v>45348</v>
      </c>
      <c r="AD5" s="128">
        <f t="shared" ref="AD5:AG5" si="4">(AC5+7)</f>
        <v>45355</v>
      </c>
      <c r="AE5" s="128">
        <f t="shared" si="4"/>
        <v>45362</v>
      </c>
      <c r="AF5" s="128">
        <f t="shared" si="4"/>
        <v>45369</v>
      </c>
      <c r="AG5" s="129">
        <f t="shared" si="4"/>
        <v>45376</v>
      </c>
    </row>
    <row r="6" spans="3:53" s="98" customFormat="1" ht="15.75" customHeight="1">
      <c r="C6" s="130"/>
      <c r="E6" s="127"/>
      <c r="F6" s="128"/>
      <c r="G6" s="128"/>
      <c r="H6" s="129"/>
      <c r="I6" s="127"/>
      <c r="J6" s="128"/>
      <c r="K6" s="128"/>
      <c r="L6" s="129"/>
      <c r="M6" s="127"/>
      <c r="N6" s="128"/>
      <c r="O6" s="128"/>
      <c r="P6" s="128"/>
      <c r="Q6" s="129"/>
      <c r="R6" s="131"/>
      <c r="S6" s="132"/>
      <c r="U6" s="127"/>
      <c r="V6" s="128"/>
      <c r="W6" s="128"/>
      <c r="X6" s="128"/>
      <c r="Y6" s="128"/>
      <c r="Z6" s="128"/>
      <c r="AA6" s="128"/>
      <c r="AB6" s="128"/>
      <c r="AC6" s="128"/>
      <c r="AD6" s="128"/>
      <c r="AE6" s="128"/>
      <c r="AF6" s="128"/>
      <c r="AG6" s="129"/>
      <c r="AH6" s="131"/>
      <c r="AI6" s="131"/>
      <c r="AJ6" s="131"/>
      <c r="AK6" s="131"/>
      <c r="AL6" s="131"/>
      <c r="AM6" s="131"/>
      <c r="AN6" s="131"/>
      <c r="AO6" s="131"/>
      <c r="AP6" s="131"/>
      <c r="AQ6" s="131"/>
      <c r="AR6" s="131"/>
      <c r="AS6" s="131"/>
      <c r="AT6" s="131"/>
      <c r="AU6" s="131"/>
      <c r="AV6" s="131"/>
      <c r="AW6" s="131"/>
      <c r="AX6" s="131"/>
      <c r="AY6" s="131"/>
      <c r="AZ6" s="131"/>
      <c r="BA6" s="131"/>
    </row>
    <row r="7" spans="3:53" s="98" customFormat="1" ht="24.75" customHeight="1">
      <c r="C7" s="100" t="s">
        <v>115</v>
      </c>
      <c r="D7" s="104">
        <f>SUM(E7:Q7)</f>
        <v>188</v>
      </c>
      <c r="E7" s="1687">
        <f>188000/1000</f>
        <v>188</v>
      </c>
      <c r="F7" s="1688"/>
      <c r="G7" s="1689" t="s">
        <v>118</v>
      </c>
      <c r="H7" s="1690"/>
      <c r="I7" s="327" t="s">
        <v>76</v>
      </c>
      <c r="J7" s="328"/>
      <c r="K7" s="328"/>
      <c r="L7" s="329"/>
      <c r="M7" s="330" t="s">
        <v>76</v>
      </c>
      <c r="N7" s="1170"/>
      <c r="O7" s="1170"/>
      <c r="P7" s="1170"/>
      <c r="Q7" s="331"/>
      <c r="S7" s="106" t="s">
        <v>115</v>
      </c>
      <c r="T7" s="104">
        <f>SUM(U7:AG7)</f>
        <v>230</v>
      </c>
      <c r="U7" s="1691" t="s">
        <v>76</v>
      </c>
      <c r="V7" s="1692"/>
      <c r="W7" s="1691"/>
      <c r="X7" s="1692"/>
      <c r="Y7" s="186"/>
      <c r="Z7" s="1693" t="s">
        <v>76</v>
      </c>
      <c r="AA7" s="1693"/>
      <c r="AB7" s="1693"/>
      <c r="AC7" s="1693"/>
      <c r="AD7" s="1693"/>
      <c r="AE7" s="1171"/>
      <c r="AF7" s="1685">
        <v>230</v>
      </c>
      <c r="AG7" s="1686"/>
    </row>
    <row r="8" spans="3:53" s="98" customFormat="1" ht="24.75" customHeight="1">
      <c r="C8" s="100" t="s">
        <v>116</v>
      </c>
      <c r="D8" s="104">
        <f>SUM(E8:Q8)</f>
        <v>21</v>
      </c>
      <c r="E8" s="340" t="s">
        <v>119</v>
      </c>
      <c r="F8" s="1203">
        <v>21</v>
      </c>
      <c r="G8" s="187" t="s">
        <v>118</v>
      </c>
      <c r="H8" s="332"/>
      <c r="I8" s="333" t="s">
        <v>119</v>
      </c>
      <c r="J8" s="1172"/>
      <c r="K8" s="1172"/>
      <c r="L8" s="334"/>
      <c r="M8" s="333" t="s">
        <v>119</v>
      </c>
      <c r="N8" s="1172"/>
      <c r="O8" s="1172"/>
      <c r="P8" s="1172"/>
      <c r="Q8" s="334"/>
      <c r="S8" s="106" t="s">
        <v>116</v>
      </c>
      <c r="T8" s="104">
        <f>SUM(U8:AG8)</f>
        <v>85</v>
      </c>
      <c r="U8" s="1694" t="s">
        <v>76</v>
      </c>
      <c r="V8" s="1694"/>
      <c r="W8" s="1694" t="s">
        <v>76</v>
      </c>
      <c r="X8" s="1694"/>
      <c r="Y8" s="188"/>
      <c r="Z8" s="1695" t="s">
        <v>76</v>
      </c>
      <c r="AA8" s="1695"/>
      <c r="AB8" s="1695"/>
      <c r="AC8" s="1696"/>
      <c r="AD8" s="1697" t="s">
        <v>76</v>
      </c>
      <c r="AE8" s="1695"/>
      <c r="AF8" s="1698">
        <v>85</v>
      </c>
      <c r="AG8" s="1699"/>
    </row>
    <row r="9" spans="3:53" s="98" customFormat="1" ht="24.75" customHeight="1" thickBot="1">
      <c r="C9" s="100" t="s">
        <v>117</v>
      </c>
      <c r="D9" s="107">
        <f>SUM(E9:Q9)</f>
        <v>34000</v>
      </c>
      <c r="E9" s="1160">
        <v>20000</v>
      </c>
      <c r="F9" s="1158"/>
      <c r="G9" s="1158"/>
      <c r="H9" s="1159"/>
      <c r="I9" s="1160"/>
      <c r="J9" s="1158"/>
      <c r="K9" s="1708"/>
      <c r="L9" s="1709"/>
      <c r="M9" s="1710"/>
      <c r="N9" s="1708"/>
      <c r="O9" s="1708"/>
      <c r="P9" s="1708"/>
      <c r="Q9" s="1159">
        <v>14000</v>
      </c>
      <c r="R9" s="131"/>
      <c r="S9" s="106" t="s">
        <v>117</v>
      </c>
      <c r="T9" s="107">
        <f>SUM(U9:AG9)</f>
        <v>130000</v>
      </c>
      <c r="U9" s="1700">
        <v>20000</v>
      </c>
      <c r="V9" s="1700"/>
      <c r="W9" s="1700">
        <v>20000</v>
      </c>
      <c r="X9" s="1700"/>
      <c r="Y9" s="1700">
        <v>20000</v>
      </c>
      <c r="Z9" s="1700"/>
      <c r="AA9" s="1700">
        <v>20000</v>
      </c>
      <c r="AB9" s="1700"/>
      <c r="AC9" s="1701">
        <v>20000</v>
      </c>
      <c r="AD9" s="1702"/>
      <c r="AE9" s="1700">
        <v>20000</v>
      </c>
      <c r="AF9" s="1700"/>
      <c r="AG9" s="1162">
        <v>10000</v>
      </c>
      <c r="AH9" s="131"/>
      <c r="AI9" s="131"/>
      <c r="AJ9" s="131"/>
      <c r="AK9" s="131"/>
      <c r="AL9" s="131"/>
      <c r="AM9" s="131"/>
      <c r="AN9" s="131"/>
      <c r="AO9" s="131"/>
      <c r="AP9" s="131"/>
      <c r="AQ9" s="131"/>
      <c r="AR9" s="131"/>
      <c r="AS9" s="131"/>
      <c r="AT9" s="131"/>
      <c r="AU9" s="131"/>
      <c r="AV9" s="131"/>
      <c r="AW9" s="131"/>
      <c r="AX9" s="131"/>
      <c r="AY9" s="131"/>
      <c r="AZ9" s="131"/>
      <c r="BA9" s="131"/>
    </row>
    <row r="10" spans="3:53" s="98" customFormat="1" ht="15" customHeight="1" thickBot="1">
      <c r="E10" s="131"/>
      <c r="F10" s="131"/>
      <c r="G10" s="131"/>
      <c r="H10" s="131"/>
      <c r="I10" s="131"/>
      <c r="J10" s="131"/>
      <c r="K10" s="131"/>
      <c r="L10" s="131"/>
      <c r="M10" s="131"/>
      <c r="N10" s="131"/>
      <c r="O10" s="131"/>
      <c r="P10" s="131"/>
      <c r="Q10" s="131"/>
      <c r="R10" s="131"/>
      <c r="S10" s="133"/>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row>
    <row r="11" spans="3:53" s="98" customFormat="1" ht="15" customHeight="1">
      <c r="E11" s="1703">
        <v>45017</v>
      </c>
      <c r="F11" s="1704"/>
      <c r="G11" s="1704"/>
      <c r="H11" s="1705"/>
      <c r="I11" s="1703">
        <v>45047</v>
      </c>
      <c r="J11" s="1704"/>
      <c r="K11" s="1704"/>
      <c r="L11" s="1706"/>
      <c r="M11" s="1707">
        <v>45078</v>
      </c>
      <c r="N11" s="1704"/>
      <c r="O11" s="1704"/>
      <c r="P11" s="1704"/>
      <c r="Q11" s="1706"/>
      <c r="S11" s="133"/>
      <c r="U11" s="1703">
        <v>45383</v>
      </c>
      <c r="V11" s="1704"/>
      <c r="W11" s="1704"/>
      <c r="X11" s="1704"/>
      <c r="Y11" s="109">
        <v>45413</v>
      </c>
      <c r="Z11" s="109"/>
      <c r="AA11" s="109"/>
      <c r="AB11" s="109"/>
      <c r="AC11" s="109"/>
      <c r="AD11" s="111">
        <v>45444</v>
      </c>
      <c r="AE11" s="109"/>
      <c r="AF11" s="109"/>
      <c r="AG11" s="110"/>
      <c r="AP11" s="131"/>
      <c r="AQ11" s="1711" t="s">
        <v>846</v>
      </c>
      <c r="AR11" s="1711"/>
      <c r="AS11" s="1711"/>
      <c r="AT11" s="1711"/>
      <c r="AU11" s="131"/>
      <c r="AV11" s="131"/>
      <c r="AW11" s="131"/>
      <c r="AX11" s="131"/>
      <c r="AY11" s="131"/>
      <c r="AZ11" s="131"/>
      <c r="BA11" s="131"/>
    </row>
    <row r="12" spans="3:53" s="98" customFormat="1" ht="15" customHeight="1">
      <c r="E12" s="134">
        <f t="shared" ref="E12:Q12" si="5">WEEKNUM(E13,2)</f>
        <v>14</v>
      </c>
      <c r="F12" s="120">
        <f t="shared" si="5"/>
        <v>15</v>
      </c>
      <c r="G12" s="120">
        <f t="shared" si="5"/>
        <v>16</v>
      </c>
      <c r="H12" s="335">
        <f t="shared" si="5"/>
        <v>17</v>
      </c>
      <c r="I12" s="116">
        <f t="shared" si="5"/>
        <v>18</v>
      </c>
      <c r="J12" s="117">
        <f t="shared" si="5"/>
        <v>19</v>
      </c>
      <c r="K12" s="117">
        <f t="shared" si="5"/>
        <v>20</v>
      </c>
      <c r="L12" s="118">
        <f t="shared" si="5"/>
        <v>21</v>
      </c>
      <c r="M12" s="119">
        <f t="shared" si="5"/>
        <v>22</v>
      </c>
      <c r="N12" s="120">
        <f t="shared" si="5"/>
        <v>23</v>
      </c>
      <c r="O12" s="120">
        <f t="shared" si="5"/>
        <v>24</v>
      </c>
      <c r="P12" s="120">
        <f t="shared" si="5"/>
        <v>25</v>
      </c>
      <c r="Q12" s="121">
        <f t="shared" si="5"/>
        <v>26</v>
      </c>
      <c r="S12" s="133"/>
      <c r="U12" s="135">
        <f t="shared" ref="U12:AG12" si="6">WEEKNUM(U13,2)</f>
        <v>14</v>
      </c>
      <c r="V12" s="125">
        <f t="shared" si="6"/>
        <v>15</v>
      </c>
      <c r="W12" s="125">
        <f t="shared" si="6"/>
        <v>16</v>
      </c>
      <c r="X12" s="125">
        <f t="shared" si="6"/>
        <v>17</v>
      </c>
      <c r="Y12" s="124">
        <f t="shared" si="6"/>
        <v>18</v>
      </c>
      <c r="Z12" s="124">
        <f t="shared" si="6"/>
        <v>19</v>
      </c>
      <c r="AA12" s="124">
        <f t="shared" si="6"/>
        <v>20</v>
      </c>
      <c r="AB12" s="124">
        <f t="shared" si="6"/>
        <v>21</v>
      </c>
      <c r="AC12" s="124">
        <f t="shared" si="6"/>
        <v>22</v>
      </c>
      <c r="AD12" s="125">
        <f t="shared" si="6"/>
        <v>23</v>
      </c>
      <c r="AE12" s="125">
        <f t="shared" si="6"/>
        <v>24</v>
      </c>
      <c r="AF12" s="125">
        <f t="shared" si="6"/>
        <v>25</v>
      </c>
      <c r="AG12" s="136">
        <f t="shared" si="6"/>
        <v>26</v>
      </c>
      <c r="AP12" s="131"/>
      <c r="AQ12" s="131" t="s">
        <v>847</v>
      </c>
      <c r="AR12" s="1711" t="s">
        <v>848</v>
      </c>
      <c r="AS12" s="1711"/>
      <c r="AT12" s="131"/>
      <c r="AU12" s="131"/>
      <c r="AV12" s="131"/>
      <c r="AW12" s="131"/>
      <c r="AX12" s="131"/>
      <c r="AY12" s="131"/>
      <c r="AZ12" s="131"/>
      <c r="BA12" s="131"/>
    </row>
    <row r="13" spans="3:53" s="98" customFormat="1" ht="15" customHeight="1">
      <c r="E13" s="127">
        <f>(Q5+7)</f>
        <v>44654</v>
      </c>
      <c r="F13" s="128">
        <f t="shared" ref="F13:Q13" si="7">(E13+7)</f>
        <v>44661</v>
      </c>
      <c r="G13" s="128">
        <f t="shared" si="7"/>
        <v>44668</v>
      </c>
      <c r="H13" s="336">
        <f t="shared" si="7"/>
        <v>44675</v>
      </c>
      <c r="I13" s="127">
        <f t="shared" si="7"/>
        <v>44682</v>
      </c>
      <c r="J13" s="128">
        <f t="shared" si="7"/>
        <v>44689</v>
      </c>
      <c r="K13" s="128">
        <f t="shared" si="7"/>
        <v>44696</v>
      </c>
      <c r="L13" s="129">
        <f t="shared" si="7"/>
        <v>44703</v>
      </c>
      <c r="M13" s="137">
        <f t="shared" si="7"/>
        <v>44710</v>
      </c>
      <c r="N13" s="128">
        <f t="shared" si="7"/>
        <v>44717</v>
      </c>
      <c r="O13" s="128">
        <f t="shared" si="7"/>
        <v>44724</v>
      </c>
      <c r="P13" s="128">
        <f t="shared" si="7"/>
        <v>44731</v>
      </c>
      <c r="Q13" s="129">
        <f t="shared" si="7"/>
        <v>44738</v>
      </c>
      <c r="S13" s="133"/>
      <c r="U13" s="127">
        <f>(AG5+7)</f>
        <v>45383</v>
      </c>
      <c r="V13" s="128">
        <f t="shared" ref="V13:AG13" si="8">(U13+7)</f>
        <v>45390</v>
      </c>
      <c r="W13" s="128">
        <f t="shared" si="8"/>
        <v>45397</v>
      </c>
      <c r="X13" s="128">
        <f t="shared" si="8"/>
        <v>45404</v>
      </c>
      <c r="Y13" s="128">
        <f t="shared" si="8"/>
        <v>45411</v>
      </c>
      <c r="Z13" s="128">
        <f t="shared" si="8"/>
        <v>45418</v>
      </c>
      <c r="AA13" s="128">
        <f t="shared" si="8"/>
        <v>45425</v>
      </c>
      <c r="AB13" s="128">
        <f t="shared" si="8"/>
        <v>45432</v>
      </c>
      <c r="AC13" s="128">
        <f t="shared" si="8"/>
        <v>45439</v>
      </c>
      <c r="AD13" s="137">
        <f t="shared" si="8"/>
        <v>45446</v>
      </c>
      <c r="AE13" s="128">
        <f t="shared" si="8"/>
        <v>45453</v>
      </c>
      <c r="AF13" s="128">
        <f t="shared" si="8"/>
        <v>45460</v>
      </c>
      <c r="AG13" s="129">
        <f t="shared" si="8"/>
        <v>45467</v>
      </c>
      <c r="AP13" s="131"/>
      <c r="AQ13" s="131" t="s">
        <v>849</v>
      </c>
      <c r="AR13" s="1711" t="s">
        <v>850</v>
      </c>
      <c r="AS13" s="1711"/>
      <c r="AT13" s="131"/>
      <c r="AU13" s="131"/>
      <c r="AV13" s="131"/>
      <c r="AW13" s="131"/>
      <c r="AX13" s="131"/>
      <c r="AY13" s="131"/>
      <c r="AZ13" s="131"/>
      <c r="BA13" s="131"/>
    </row>
    <row r="14" spans="3:53" s="98" customFormat="1" ht="15" customHeight="1">
      <c r="E14" s="127"/>
      <c r="F14" s="128"/>
      <c r="G14" s="128"/>
      <c r="H14" s="336"/>
      <c r="I14" s="127"/>
      <c r="J14" s="128"/>
      <c r="K14" s="128"/>
      <c r="L14" s="129"/>
      <c r="M14" s="137"/>
      <c r="N14" s="128"/>
      <c r="O14" s="128"/>
      <c r="P14" s="128"/>
      <c r="Q14" s="129"/>
      <c r="S14" s="133"/>
      <c r="U14" s="127"/>
      <c r="V14" s="128"/>
      <c r="W14" s="128"/>
      <c r="X14" s="128"/>
      <c r="Y14" s="128"/>
      <c r="Z14" s="128"/>
      <c r="AA14" s="128"/>
      <c r="AB14" s="128"/>
      <c r="AC14" s="128"/>
      <c r="AD14" s="137"/>
      <c r="AE14" s="128"/>
      <c r="AF14" s="128"/>
      <c r="AG14" s="129"/>
      <c r="AP14" s="131"/>
      <c r="AQ14" s="131"/>
      <c r="AR14" s="131"/>
      <c r="AS14" s="131"/>
      <c r="AT14" s="131"/>
      <c r="AU14" s="131"/>
      <c r="AV14" s="131"/>
      <c r="AW14" s="131"/>
      <c r="AX14" s="131"/>
      <c r="AY14" s="131"/>
      <c r="AZ14" s="131"/>
      <c r="BA14" s="131"/>
    </row>
    <row r="15" spans="3:53" s="98" customFormat="1" ht="24.75" customHeight="1">
      <c r="C15" s="100" t="s">
        <v>115</v>
      </c>
      <c r="D15" s="104">
        <f>SUM(E15:Q15)</f>
        <v>192</v>
      </c>
      <c r="E15" s="330" t="s">
        <v>76</v>
      </c>
      <c r="F15" s="1170"/>
      <c r="G15" s="1170"/>
      <c r="H15" s="1170"/>
      <c r="I15" s="337" t="s">
        <v>76</v>
      </c>
      <c r="J15" s="338"/>
      <c r="K15" s="338"/>
      <c r="L15" s="339">
        <f>192000/1000</f>
        <v>192</v>
      </c>
      <c r="M15" s="1692" t="s">
        <v>118</v>
      </c>
      <c r="N15" s="1712"/>
      <c r="O15" s="1713" t="s">
        <v>76</v>
      </c>
      <c r="P15" s="1713"/>
      <c r="Q15" s="1714"/>
      <c r="S15" s="106" t="s">
        <v>115</v>
      </c>
      <c r="T15" s="104">
        <f>SUM(U15:AG15)</f>
        <v>0</v>
      </c>
      <c r="U15" s="1712" t="s">
        <v>118</v>
      </c>
      <c r="V15" s="1712"/>
      <c r="W15" s="1712" t="s">
        <v>76</v>
      </c>
      <c r="X15" s="1712"/>
      <c r="Y15" s="1715" t="s">
        <v>76</v>
      </c>
      <c r="Z15" s="1693"/>
      <c r="AA15" s="1693"/>
      <c r="AB15" s="1693"/>
      <c r="AC15" s="1716"/>
      <c r="AD15" s="1715" t="s">
        <v>76</v>
      </c>
      <c r="AE15" s="1693"/>
      <c r="AF15" s="1693"/>
      <c r="AG15" s="1717"/>
      <c r="AP15" s="131"/>
      <c r="AQ15" s="1173" t="s">
        <v>851</v>
      </c>
      <c r="AR15" s="1718" t="s">
        <v>852</v>
      </c>
      <c r="AS15" s="1718"/>
      <c r="AT15" s="131"/>
      <c r="AU15" s="131"/>
      <c r="AV15" s="131"/>
      <c r="AW15" s="131"/>
      <c r="AX15" s="131"/>
      <c r="AY15" s="131"/>
      <c r="AZ15" s="131"/>
      <c r="BA15" s="131"/>
    </row>
    <row r="16" spans="3:53" s="98" customFormat="1" ht="24.75" customHeight="1">
      <c r="C16" s="100" t="s">
        <v>116</v>
      </c>
      <c r="D16" s="104">
        <f>SUM(E16:Q16)</f>
        <v>54</v>
      </c>
      <c r="E16" s="333" t="s">
        <v>119</v>
      </c>
      <c r="F16" s="1172"/>
      <c r="G16" s="1172"/>
      <c r="H16" s="1172"/>
      <c r="I16" s="340" t="s">
        <v>119</v>
      </c>
      <c r="J16" s="341"/>
      <c r="K16" s="341"/>
      <c r="L16" s="342">
        <f>(96/16)*9</f>
        <v>54</v>
      </c>
      <c r="M16" s="343" t="s">
        <v>118</v>
      </c>
      <c r="N16" s="187"/>
      <c r="O16" s="341" t="s">
        <v>119</v>
      </c>
      <c r="P16" s="341"/>
      <c r="Q16" s="341"/>
      <c r="S16" s="106" t="s">
        <v>116</v>
      </c>
      <c r="T16" s="104">
        <f>SUM(U16:AG16)</f>
        <v>0</v>
      </c>
      <c r="U16" s="1719" t="s">
        <v>118</v>
      </c>
      <c r="V16" s="1719"/>
      <c r="W16" s="1720" t="s">
        <v>76</v>
      </c>
      <c r="X16" s="1721"/>
      <c r="Y16" s="1721"/>
      <c r="Z16" s="1721"/>
      <c r="AA16" s="1721"/>
      <c r="AB16" s="1721"/>
      <c r="AC16" s="1721"/>
      <c r="AD16" s="1721"/>
      <c r="AE16" s="1721"/>
      <c r="AF16" s="1721"/>
      <c r="AG16" s="1722"/>
      <c r="AP16" s="131"/>
      <c r="AQ16" s="131"/>
      <c r="AR16" s="131"/>
      <c r="AS16" s="131"/>
      <c r="AT16" s="131"/>
      <c r="AU16" s="131"/>
      <c r="AV16" s="131"/>
      <c r="AW16" s="131"/>
      <c r="AX16" s="131"/>
      <c r="AY16" s="131"/>
      <c r="AZ16" s="131"/>
      <c r="BA16" s="131"/>
    </row>
    <row r="17" spans="3:53" s="98" customFormat="1" ht="24.75" customHeight="1" thickBot="1">
      <c r="C17" s="100" t="s">
        <v>117</v>
      </c>
      <c r="D17" s="107">
        <f>SUM(E17:Q17)</f>
        <v>97000</v>
      </c>
      <c r="E17" s="1160"/>
      <c r="F17" s="1158">
        <v>14000</v>
      </c>
      <c r="G17" s="1158"/>
      <c r="H17" s="344">
        <v>14000</v>
      </c>
      <c r="I17" s="1160"/>
      <c r="J17" s="1158">
        <v>20000</v>
      </c>
      <c r="K17" s="1158">
        <v>14000</v>
      </c>
      <c r="L17" s="1159"/>
      <c r="M17" s="345"/>
      <c r="N17" s="1158">
        <v>15000</v>
      </c>
      <c r="O17" s="1158">
        <v>8000</v>
      </c>
      <c r="P17" s="1158"/>
      <c r="Q17" s="1159">
        <v>12000</v>
      </c>
      <c r="S17" s="106" t="s">
        <v>117</v>
      </c>
      <c r="T17" s="107">
        <f>SUM(U17:AG17)</f>
        <v>130000</v>
      </c>
      <c r="U17" s="1700">
        <v>20000</v>
      </c>
      <c r="V17" s="1700"/>
      <c r="W17" s="1700">
        <v>20000</v>
      </c>
      <c r="X17" s="1700"/>
      <c r="Y17" s="1700">
        <v>20000</v>
      </c>
      <c r="Z17" s="1700"/>
      <c r="AA17" s="1700">
        <v>20000</v>
      </c>
      <c r="AB17" s="1700"/>
      <c r="AC17" s="1701">
        <v>20000</v>
      </c>
      <c r="AD17" s="1702"/>
      <c r="AE17" s="1700">
        <v>20000</v>
      </c>
      <c r="AF17" s="1700"/>
      <c r="AG17" s="1162">
        <v>10000</v>
      </c>
      <c r="AP17" s="131"/>
      <c r="AQ17" s="131"/>
      <c r="AR17" s="131"/>
      <c r="AS17" s="131"/>
      <c r="AT17" s="131"/>
      <c r="AU17" s="131"/>
      <c r="AV17" s="131"/>
      <c r="AW17" s="131"/>
      <c r="AX17" s="131"/>
      <c r="AY17" s="131"/>
      <c r="AZ17" s="131"/>
      <c r="BA17" s="131"/>
    </row>
    <row r="18" spans="3:53" s="98" customFormat="1" ht="15" customHeight="1" thickBot="1">
      <c r="E18" s="131"/>
      <c r="F18" s="131"/>
      <c r="G18" s="131"/>
      <c r="H18" s="131"/>
      <c r="I18" s="131"/>
      <c r="J18" s="131"/>
      <c r="K18" s="131"/>
      <c r="L18" s="131"/>
      <c r="M18" s="131"/>
      <c r="N18" s="131"/>
      <c r="O18" s="131"/>
      <c r="P18" s="131"/>
      <c r="Q18" s="131"/>
      <c r="S18" s="133"/>
      <c r="U18" s="131"/>
      <c r="V18" s="131"/>
      <c r="W18" s="131"/>
      <c r="X18" s="131"/>
      <c r="Y18" s="131"/>
      <c r="Z18" s="131"/>
      <c r="AA18" s="131"/>
      <c r="AB18" s="131"/>
      <c r="AC18" s="131"/>
      <c r="AD18" s="131"/>
      <c r="AE18" s="131"/>
      <c r="AF18" s="131"/>
      <c r="AG18" s="131"/>
      <c r="AP18" s="131"/>
      <c r="AQ18" s="131"/>
      <c r="AR18" s="131"/>
      <c r="AS18" s="131"/>
      <c r="AT18" s="131"/>
      <c r="AU18" s="131"/>
      <c r="AV18" s="131"/>
      <c r="AW18" s="131"/>
      <c r="AX18" s="131"/>
      <c r="AY18" s="131"/>
      <c r="AZ18" s="131"/>
      <c r="BA18" s="131"/>
    </row>
    <row r="19" spans="3:53" s="98" customFormat="1" ht="15" customHeight="1">
      <c r="E19" s="1703">
        <v>45108</v>
      </c>
      <c r="F19" s="1704"/>
      <c r="G19" s="1704"/>
      <c r="H19" s="1706"/>
      <c r="I19" s="1703">
        <v>45139</v>
      </c>
      <c r="J19" s="1704"/>
      <c r="K19" s="1704"/>
      <c r="L19" s="1704"/>
      <c r="M19" s="1706"/>
      <c r="N19" s="1703">
        <v>45170</v>
      </c>
      <c r="O19" s="1704"/>
      <c r="P19" s="1704"/>
      <c r="Q19" s="1706"/>
      <c r="S19" s="133"/>
      <c r="U19" s="1703">
        <v>45474</v>
      </c>
      <c r="V19" s="1704"/>
      <c r="W19" s="1704"/>
      <c r="X19" s="1704"/>
      <c r="Y19" s="1704">
        <v>45505</v>
      </c>
      <c r="Z19" s="1704"/>
      <c r="AA19" s="1704"/>
      <c r="AB19" s="1704"/>
      <c r="AC19" s="1704"/>
      <c r="AD19" s="1704">
        <v>45536</v>
      </c>
      <c r="AE19" s="1704"/>
      <c r="AF19" s="1704"/>
      <c r="AG19" s="1706"/>
      <c r="AJ19" s="131"/>
      <c r="AK19" s="131"/>
      <c r="AL19" s="131"/>
      <c r="AM19" s="131"/>
      <c r="AN19" s="131"/>
      <c r="AO19" s="131"/>
      <c r="AP19" s="131"/>
      <c r="AQ19" s="131"/>
      <c r="AR19" s="131"/>
      <c r="AS19" s="131"/>
      <c r="AT19" s="131"/>
      <c r="AU19" s="131"/>
      <c r="AV19" s="131"/>
      <c r="AW19" s="131"/>
      <c r="AX19" s="131"/>
      <c r="AY19" s="131"/>
      <c r="AZ19" s="131"/>
      <c r="BA19" s="131"/>
    </row>
    <row r="20" spans="3:53" s="98" customFormat="1" ht="15" customHeight="1">
      <c r="E20" s="116">
        <f t="shared" ref="E20:Q20" si="9">WEEKNUM(E21,2)</f>
        <v>27</v>
      </c>
      <c r="F20" s="117">
        <f t="shared" si="9"/>
        <v>28</v>
      </c>
      <c r="G20" s="117">
        <f t="shared" si="9"/>
        <v>29</v>
      </c>
      <c r="H20" s="118">
        <f t="shared" si="9"/>
        <v>30</v>
      </c>
      <c r="I20" s="134">
        <f t="shared" si="9"/>
        <v>31</v>
      </c>
      <c r="J20" s="120">
        <f t="shared" si="9"/>
        <v>32</v>
      </c>
      <c r="K20" s="120">
        <f t="shared" si="9"/>
        <v>33</v>
      </c>
      <c r="L20" s="120">
        <f t="shared" si="9"/>
        <v>34</v>
      </c>
      <c r="M20" s="121">
        <f t="shared" si="9"/>
        <v>35</v>
      </c>
      <c r="N20" s="116">
        <f t="shared" si="9"/>
        <v>36</v>
      </c>
      <c r="O20" s="117">
        <f t="shared" si="9"/>
        <v>37</v>
      </c>
      <c r="P20" s="117">
        <f t="shared" si="9"/>
        <v>38</v>
      </c>
      <c r="Q20" s="118">
        <f t="shared" si="9"/>
        <v>39</v>
      </c>
      <c r="S20" s="133"/>
      <c r="U20" s="123">
        <f t="shared" ref="U20:AG20" si="10">WEEKNUM(U21,2)</f>
        <v>27</v>
      </c>
      <c r="V20" s="124">
        <f t="shared" si="10"/>
        <v>28</v>
      </c>
      <c r="W20" s="124">
        <f t="shared" si="10"/>
        <v>29</v>
      </c>
      <c r="X20" s="124">
        <f t="shared" si="10"/>
        <v>30</v>
      </c>
      <c r="Y20" s="125">
        <f t="shared" si="10"/>
        <v>31</v>
      </c>
      <c r="Z20" s="125">
        <f t="shared" si="10"/>
        <v>32</v>
      </c>
      <c r="AA20" s="125">
        <f t="shared" si="10"/>
        <v>33</v>
      </c>
      <c r="AB20" s="125">
        <f t="shared" si="10"/>
        <v>34</v>
      </c>
      <c r="AC20" s="125">
        <f t="shared" si="10"/>
        <v>35</v>
      </c>
      <c r="AD20" s="117">
        <f t="shared" si="10"/>
        <v>36</v>
      </c>
      <c r="AE20" s="117">
        <f t="shared" si="10"/>
        <v>37</v>
      </c>
      <c r="AF20" s="117">
        <f t="shared" si="10"/>
        <v>38</v>
      </c>
      <c r="AG20" s="118">
        <f t="shared" si="10"/>
        <v>39</v>
      </c>
      <c r="AJ20" s="131"/>
      <c r="AK20" s="131"/>
      <c r="AL20" s="131"/>
      <c r="AM20" s="131"/>
      <c r="AN20" s="131"/>
      <c r="AO20" s="131"/>
      <c r="AP20" s="131"/>
      <c r="AQ20" s="131"/>
      <c r="AR20" s="131"/>
      <c r="AS20" s="131"/>
      <c r="AT20" s="131"/>
      <c r="AU20" s="131"/>
      <c r="AV20" s="131"/>
      <c r="AW20" s="131"/>
      <c r="AX20" s="131"/>
      <c r="AY20" s="131"/>
      <c r="AZ20" s="131"/>
      <c r="BA20" s="131"/>
    </row>
    <row r="21" spans="3:53" s="98" customFormat="1" ht="15" customHeight="1">
      <c r="E21" s="127">
        <f>(Q13+7)</f>
        <v>44745</v>
      </c>
      <c r="F21" s="128">
        <f t="shared" ref="F21:Q21" si="11">(E21+7)</f>
        <v>44752</v>
      </c>
      <c r="G21" s="128">
        <f t="shared" si="11"/>
        <v>44759</v>
      </c>
      <c r="H21" s="129">
        <f t="shared" si="11"/>
        <v>44766</v>
      </c>
      <c r="I21" s="127">
        <f t="shared" si="11"/>
        <v>44773</v>
      </c>
      <c r="J21" s="128">
        <f t="shared" si="11"/>
        <v>44780</v>
      </c>
      <c r="K21" s="128">
        <f t="shared" si="11"/>
        <v>44787</v>
      </c>
      <c r="L21" s="128">
        <f t="shared" si="11"/>
        <v>44794</v>
      </c>
      <c r="M21" s="129">
        <f t="shared" si="11"/>
        <v>44801</v>
      </c>
      <c r="N21" s="127">
        <f t="shared" si="11"/>
        <v>44808</v>
      </c>
      <c r="O21" s="128">
        <f t="shared" si="11"/>
        <v>44815</v>
      </c>
      <c r="P21" s="128">
        <f t="shared" si="11"/>
        <v>44822</v>
      </c>
      <c r="Q21" s="129">
        <f t="shared" si="11"/>
        <v>44829</v>
      </c>
      <c r="S21" s="133"/>
      <c r="U21" s="127">
        <f>(AG13+7)</f>
        <v>45474</v>
      </c>
      <c r="V21" s="128">
        <f t="shared" ref="V21:AG21" si="12">(U21+7)</f>
        <v>45481</v>
      </c>
      <c r="W21" s="128">
        <f t="shared" si="12"/>
        <v>45488</v>
      </c>
      <c r="X21" s="128">
        <f t="shared" si="12"/>
        <v>45495</v>
      </c>
      <c r="Y21" s="128">
        <f t="shared" si="12"/>
        <v>45502</v>
      </c>
      <c r="Z21" s="128">
        <f t="shared" si="12"/>
        <v>45509</v>
      </c>
      <c r="AA21" s="128">
        <f t="shared" si="12"/>
        <v>45516</v>
      </c>
      <c r="AB21" s="128">
        <f t="shared" si="12"/>
        <v>45523</v>
      </c>
      <c r="AC21" s="128">
        <f t="shared" si="12"/>
        <v>45530</v>
      </c>
      <c r="AD21" s="128">
        <f t="shared" si="12"/>
        <v>45537</v>
      </c>
      <c r="AE21" s="128">
        <f t="shared" si="12"/>
        <v>45544</v>
      </c>
      <c r="AF21" s="128">
        <f t="shared" si="12"/>
        <v>45551</v>
      </c>
      <c r="AG21" s="129">
        <f t="shared" si="12"/>
        <v>45558</v>
      </c>
      <c r="AJ21" s="131"/>
      <c r="AK21" s="131"/>
      <c r="AL21" s="131"/>
      <c r="AM21" s="131"/>
      <c r="AN21" s="131"/>
      <c r="AO21" s="131"/>
      <c r="AP21" s="131"/>
      <c r="AQ21" s="131"/>
      <c r="AR21" s="131"/>
      <c r="AS21" s="131"/>
      <c r="AT21" s="131"/>
      <c r="AU21" s="131"/>
      <c r="AV21" s="131"/>
      <c r="AW21" s="131"/>
      <c r="AX21" s="131"/>
      <c r="AY21" s="131"/>
      <c r="AZ21" s="131"/>
      <c r="BA21" s="131"/>
    </row>
    <row r="22" spans="3:53" s="98" customFormat="1" ht="15" customHeight="1">
      <c r="E22" s="127"/>
      <c r="F22" s="128"/>
      <c r="G22" s="138"/>
      <c r="H22" s="139"/>
      <c r="I22" s="140"/>
      <c r="J22" s="138"/>
      <c r="K22" s="138"/>
      <c r="L22" s="138"/>
      <c r="M22" s="139"/>
      <c r="N22" s="140"/>
      <c r="O22" s="138"/>
      <c r="P22" s="138"/>
      <c r="Q22" s="139"/>
      <c r="S22" s="133"/>
      <c r="U22" s="127"/>
      <c r="V22" s="128"/>
      <c r="W22" s="138"/>
      <c r="X22" s="138"/>
      <c r="Y22" s="138"/>
      <c r="Z22" s="138"/>
      <c r="AA22" s="138"/>
      <c r="AB22" s="138"/>
      <c r="AC22" s="138"/>
      <c r="AD22" s="138"/>
      <c r="AE22" s="138"/>
      <c r="AF22" s="138"/>
      <c r="AG22" s="139"/>
      <c r="AJ22" s="131"/>
      <c r="AK22" s="131"/>
      <c r="AL22" s="131"/>
      <c r="AM22" s="131"/>
      <c r="AN22" s="131"/>
      <c r="AO22" s="131"/>
      <c r="AP22" s="131"/>
      <c r="AQ22" s="131"/>
      <c r="AR22" s="131"/>
      <c r="AS22" s="131"/>
      <c r="AT22" s="131"/>
      <c r="AU22" s="131"/>
      <c r="AV22" s="131"/>
      <c r="AW22" s="131"/>
      <c r="AX22" s="131"/>
      <c r="AY22" s="131"/>
      <c r="AZ22" s="131"/>
      <c r="BA22" s="131"/>
    </row>
    <row r="23" spans="3:53" s="98" customFormat="1" ht="24.75" customHeight="1">
      <c r="C23" s="100" t="s">
        <v>115</v>
      </c>
      <c r="D23" s="104">
        <f>SUM(E23:Q23)</f>
        <v>119.2</v>
      </c>
      <c r="E23" s="1725">
        <f>69.2+30+20</f>
        <v>119.2</v>
      </c>
      <c r="F23" s="1726"/>
      <c r="G23" s="1713" t="s">
        <v>118</v>
      </c>
      <c r="H23" s="1714"/>
      <c r="I23" s="327" t="s">
        <v>76</v>
      </c>
      <c r="J23" s="328"/>
      <c r="K23" s="328"/>
      <c r="L23" s="328"/>
      <c r="M23" s="329"/>
      <c r="N23" s="327"/>
      <c r="O23" s="328"/>
      <c r="P23" s="328"/>
      <c r="Q23" s="329"/>
      <c r="S23" s="106" t="s">
        <v>115</v>
      </c>
      <c r="T23" s="104">
        <f>SUM(U23:AG23)</f>
        <v>230</v>
      </c>
      <c r="U23" s="1685">
        <v>230</v>
      </c>
      <c r="V23" s="1686"/>
      <c r="W23" s="1712" t="s">
        <v>118</v>
      </c>
      <c r="X23" s="1712"/>
      <c r="Y23" s="1715" t="s">
        <v>76</v>
      </c>
      <c r="Z23" s="1693"/>
      <c r="AA23" s="1693"/>
      <c r="AB23" s="1693"/>
      <c r="AC23" s="1716"/>
      <c r="AD23" s="1723" t="s">
        <v>76</v>
      </c>
      <c r="AE23" s="1723"/>
      <c r="AF23" s="1723"/>
      <c r="AG23" s="1724"/>
      <c r="AJ23" s="131"/>
      <c r="AK23" s="131"/>
      <c r="AL23" s="131"/>
      <c r="AM23" s="131"/>
      <c r="AN23" s="131"/>
      <c r="AO23" s="131"/>
      <c r="AP23" s="131"/>
      <c r="AQ23" s="131"/>
      <c r="AR23" s="131"/>
      <c r="AS23" s="131"/>
      <c r="AT23" s="131"/>
      <c r="AU23" s="131"/>
      <c r="AV23" s="131"/>
      <c r="AW23" s="131"/>
      <c r="AX23" s="131"/>
      <c r="AY23" s="131"/>
      <c r="AZ23" s="131"/>
      <c r="BA23" s="131"/>
    </row>
    <row r="24" spans="3:53" s="98" customFormat="1" ht="24.75" customHeight="1">
      <c r="C24" s="100" t="s">
        <v>116</v>
      </c>
      <c r="D24" s="104">
        <f>SUM(E24:Q24)</f>
        <v>12</v>
      </c>
      <c r="E24" s="346" t="s">
        <v>119</v>
      </c>
      <c r="F24" s="1163">
        <v>12</v>
      </c>
      <c r="G24" s="341" t="s">
        <v>119</v>
      </c>
      <c r="H24" s="347"/>
      <c r="I24" s="340" t="s">
        <v>119</v>
      </c>
      <c r="J24" s="341"/>
      <c r="K24" s="341"/>
      <c r="L24" s="341"/>
      <c r="M24" s="347"/>
      <c r="N24" s="340" t="s">
        <v>119</v>
      </c>
      <c r="O24" s="341"/>
      <c r="P24" s="341"/>
      <c r="Q24" s="347"/>
      <c r="S24" s="106" t="s">
        <v>116</v>
      </c>
      <c r="T24" s="104">
        <f>SUM(U24:AG24)</f>
        <v>85</v>
      </c>
      <c r="U24" s="1698">
        <v>85</v>
      </c>
      <c r="V24" s="1699"/>
      <c r="W24" s="1719" t="s">
        <v>118</v>
      </c>
      <c r="X24" s="1719"/>
      <c r="Y24" s="1727" t="s">
        <v>76</v>
      </c>
      <c r="Z24" s="1728"/>
      <c r="AA24" s="1728"/>
      <c r="AB24" s="1728"/>
      <c r="AC24" s="1728"/>
      <c r="AD24" s="1728"/>
      <c r="AE24" s="1728"/>
      <c r="AF24" s="1728"/>
      <c r="AG24" s="1729"/>
      <c r="AJ24" s="131"/>
      <c r="AK24" s="131"/>
      <c r="AL24" s="131"/>
      <c r="AM24" s="131"/>
      <c r="AN24" s="131"/>
      <c r="AO24" s="131"/>
      <c r="AP24" s="131"/>
      <c r="AQ24" s="131"/>
      <c r="AR24" s="131"/>
      <c r="AS24" s="131"/>
      <c r="AT24" s="131"/>
      <c r="AU24" s="131"/>
      <c r="AV24" s="131"/>
      <c r="AW24" s="131"/>
      <c r="AX24" s="131"/>
      <c r="AY24" s="131"/>
      <c r="AZ24" s="131"/>
      <c r="BA24" s="131"/>
    </row>
    <row r="25" spans="3:53" s="98" customFormat="1" ht="24.75" customHeight="1" thickBot="1">
      <c r="C25" s="100" t="s">
        <v>117</v>
      </c>
      <c r="D25" s="107">
        <f>SUM(E25:Q25)</f>
        <v>121000</v>
      </c>
      <c r="E25" s="1160">
        <v>10000</v>
      </c>
      <c r="F25" s="1158">
        <v>8000</v>
      </c>
      <c r="G25" s="1158">
        <v>20000</v>
      </c>
      <c r="H25" s="1159">
        <v>8000</v>
      </c>
      <c r="I25" s="1160">
        <v>10000</v>
      </c>
      <c r="J25" s="1158">
        <v>25000</v>
      </c>
      <c r="K25" s="1158">
        <v>10000</v>
      </c>
      <c r="L25" s="1158"/>
      <c r="M25" s="1159">
        <v>10000</v>
      </c>
      <c r="N25" s="1160"/>
      <c r="O25" s="1158">
        <v>10000</v>
      </c>
      <c r="P25" s="1158"/>
      <c r="Q25" s="1159">
        <v>10000</v>
      </c>
      <c r="S25" s="106" t="s">
        <v>117</v>
      </c>
      <c r="T25" s="107">
        <f>SUM(U25:AG25)</f>
        <v>50000</v>
      </c>
      <c r="U25" s="1730">
        <v>10000</v>
      </c>
      <c r="V25" s="1700"/>
      <c r="W25" s="1700">
        <v>10000</v>
      </c>
      <c r="X25" s="1700"/>
      <c r="Y25" s="1700"/>
      <c r="Z25" s="1700"/>
      <c r="AA25" s="1700">
        <v>10000</v>
      </c>
      <c r="AB25" s="1700"/>
      <c r="AC25" s="1161">
        <v>10000</v>
      </c>
      <c r="AD25" s="1700">
        <v>10000</v>
      </c>
      <c r="AE25" s="1700"/>
      <c r="AF25" s="1700"/>
      <c r="AG25" s="1731"/>
      <c r="AJ25" s="131"/>
      <c r="AK25" s="131"/>
      <c r="AL25" s="131"/>
      <c r="AM25" s="131"/>
      <c r="AN25" s="131"/>
      <c r="AO25" s="131"/>
      <c r="AP25" s="131"/>
      <c r="AQ25" s="131"/>
      <c r="AR25" s="131"/>
      <c r="AS25" s="131"/>
      <c r="AT25" s="131"/>
      <c r="AU25" s="131"/>
      <c r="AV25" s="131"/>
      <c r="AW25" s="131"/>
      <c r="AX25" s="131"/>
      <c r="AY25" s="131"/>
      <c r="AZ25" s="131"/>
      <c r="BA25" s="131"/>
    </row>
    <row r="26" spans="3:53" s="98" customFormat="1" ht="15" customHeight="1" thickBot="1">
      <c r="E26" s="131"/>
      <c r="F26" s="131"/>
      <c r="G26" s="131"/>
      <c r="H26" s="131"/>
      <c r="I26" s="131"/>
      <c r="J26" s="131"/>
      <c r="K26" s="131"/>
      <c r="L26" s="131"/>
      <c r="M26" s="131"/>
      <c r="N26" s="131"/>
      <c r="O26" s="131"/>
      <c r="P26" s="131"/>
      <c r="Q26" s="131"/>
      <c r="S26" s="133"/>
      <c r="U26" s="131"/>
      <c r="V26" s="131"/>
      <c r="W26" s="131"/>
      <c r="X26" s="131"/>
      <c r="Y26" s="131"/>
      <c r="Z26" s="131"/>
      <c r="AA26" s="131"/>
      <c r="AB26" s="131"/>
      <c r="AC26" s="131"/>
      <c r="AD26" s="131"/>
      <c r="AE26" s="131"/>
      <c r="AF26" s="131"/>
      <c r="AG26" s="131"/>
      <c r="AJ26" s="131"/>
      <c r="AK26" s="131"/>
      <c r="AL26" s="131"/>
      <c r="AM26" s="131"/>
      <c r="AN26" s="131"/>
      <c r="AO26" s="131"/>
      <c r="AP26" s="131"/>
      <c r="AQ26" s="131"/>
      <c r="AR26" s="131"/>
      <c r="AS26" s="131"/>
      <c r="AT26" s="131"/>
      <c r="AU26" s="131"/>
      <c r="AV26" s="131"/>
      <c r="AW26" s="131"/>
      <c r="AX26" s="131"/>
      <c r="AY26" s="131"/>
      <c r="AZ26" s="131"/>
      <c r="BA26" s="131"/>
    </row>
    <row r="27" spans="3:53" s="98" customFormat="1" ht="15" customHeight="1">
      <c r="E27" s="1732">
        <v>45200</v>
      </c>
      <c r="F27" s="1733"/>
      <c r="G27" s="1733"/>
      <c r="H27" s="1734"/>
      <c r="I27" s="1732">
        <v>45231</v>
      </c>
      <c r="J27" s="1733"/>
      <c r="K27" s="1733"/>
      <c r="L27" s="1733"/>
      <c r="M27" s="1734"/>
      <c r="N27" s="1732">
        <v>45261</v>
      </c>
      <c r="O27" s="1733"/>
      <c r="P27" s="1733"/>
      <c r="Q27" s="1734"/>
      <c r="R27" s="131"/>
      <c r="S27" s="133"/>
      <c r="U27" s="108">
        <v>45566</v>
      </c>
      <c r="V27" s="109"/>
      <c r="W27" s="109"/>
      <c r="X27" s="109"/>
      <c r="Y27" s="109"/>
      <c r="Z27" s="109">
        <v>45597</v>
      </c>
      <c r="AA27" s="109"/>
      <c r="AB27" s="109"/>
      <c r="AC27" s="109"/>
      <c r="AD27" s="1704">
        <v>45627</v>
      </c>
      <c r="AE27" s="1704"/>
      <c r="AF27" s="1704"/>
      <c r="AG27" s="1706"/>
      <c r="AH27" s="131"/>
      <c r="AI27" s="131"/>
      <c r="AJ27" s="131"/>
      <c r="AK27" s="131"/>
      <c r="AL27" s="131"/>
      <c r="AM27" s="131"/>
      <c r="AN27" s="131"/>
      <c r="AO27" s="131"/>
      <c r="AP27" s="131"/>
      <c r="AQ27" s="131"/>
      <c r="AR27" s="131"/>
      <c r="AS27" s="131"/>
      <c r="AT27" s="131"/>
      <c r="AU27" s="131"/>
      <c r="AV27" s="131"/>
      <c r="AW27" s="131"/>
      <c r="AX27" s="131"/>
      <c r="AY27" s="131"/>
      <c r="AZ27" s="131"/>
      <c r="BA27" s="131"/>
    </row>
    <row r="28" spans="3:53" s="98" customFormat="1" ht="15" customHeight="1">
      <c r="E28" s="134">
        <f t="shared" ref="E28:Q28" si="13">WEEKNUM(E29,2)</f>
        <v>40</v>
      </c>
      <c r="F28" s="120">
        <f t="shared" si="13"/>
        <v>41</v>
      </c>
      <c r="G28" s="120">
        <f t="shared" si="13"/>
        <v>42</v>
      </c>
      <c r="H28" s="121">
        <f t="shared" si="13"/>
        <v>43</v>
      </c>
      <c r="I28" s="116">
        <f t="shared" si="13"/>
        <v>44</v>
      </c>
      <c r="J28" s="117">
        <f t="shared" si="13"/>
        <v>45</v>
      </c>
      <c r="K28" s="117">
        <f t="shared" si="13"/>
        <v>46</v>
      </c>
      <c r="L28" s="117">
        <f t="shared" si="13"/>
        <v>47</v>
      </c>
      <c r="M28" s="118">
        <f t="shared" si="13"/>
        <v>48</v>
      </c>
      <c r="N28" s="134">
        <f t="shared" si="13"/>
        <v>49</v>
      </c>
      <c r="O28" s="120">
        <f t="shared" si="13"/>
        <v>50</v>
      </c>
      <c r="P28" s="120">
        <f t="shared" si="13"/>
        <v>51</v>
      </c>
      <c r="Q28" s="121">
        <f t="shared" si="13"/>
        <v>52</v>
      </c>
      <c r="R28" s="131"/>
      <c r="S28" s="133"/>
      <c r="U28" s="135">
        <f t="shared" ref="U28:AG28" si="14">WEEKNUM(U29,2)</f>
        <v>40</v>
      </c>
      <c r="V28" s="125">
        <f t="shared" si="14"/>
        <v>41</v>
      </c>
      <c r="W28" s="125">
        <f t="shared" si="14"/>
        <v>42</v>
      </c>
      <c r="X28" s="125">
        <f t="shared" si="14"/>
        <v>43</v>
      </c>
      <c r="Y28" s="125">
        <f t="shared" si="14"/>
        <v>44</v>
      </c>
      <c r="Z28" s="124">
        <f t="shared" si="14"/>
        <v>45</v>
      </c>
      <c r="AA28" s="124">
        <f t="shared" si="14"/>
        <v>46</v>
      </c>
      <c r="AB28" s="124">
        <f t="shared" si="14"/>
        <v>47</v>
      </c>
      <c r="AC28" s="124">
        <f t="shared" si="14"/>
        <v>48</v>
      </c>
      <c r="AD28" s="125">
        <f t="shared" si="14"/>
        <v>49</v>
      </c>
      <c r="AE28" s="125">
        <f t="shared" si="14"/>
        <v>50</v>
      </c>
      <c r="AF28" s="125">
        <f t="shared" si="14"/>
        <v>51</v>
      </c>
      <c r="AG28" s="125">
        <f t="shared" si="14"/>
        <v>52</v>
      </c>
      <c r="AH28" s="131"/>
      <c r="AI28" s="131"/>
      <c r="AJ28" s="131"/>
      <c r="AK28" s="131"/>
      <c r="AL28" s="131"/>
      <c r="AM28" s="131"/>
      <c r="AN28" s="131"/>
      <c r="AO28" s="131"/>
      <c r="AP28" s="131"/>
      <c r="AQ28" s="131"/>
      <c r="AR28" s="131"/>
      <c r="AS28" s="131"/>
      <c r="AT28" s="131"/>
      <c r="AU28" s="131"/>
      <c r="AV28" s="131"/>
      <c r="AW28" s="131"/>
      <c r="AX28" s="131"/>
      <c r="AY28" s="131"/>
      <c r="AZ28" s="131"/>
      <c r="BA28" s="131"/>
    </row>
    <row r="29" spans="3:53" s="98" customFormat="1" ht="15" customHeight="1">
      <c r="E29" s="1167">
        <f>(Q21+7)</f>
        <v>44836</v>
      </c>
      <c r="F29" s="1168">
        <f t="shared" ref="F29:Q29" si="15">(E29+7)</f>
        <v>44843</v>
      </c>
      <c r="G29" s="1168">
        <f t="shared" si="15"/>
        <v>44850</v>
      </c>
      <c r="H29" s="1169">
        <f t="shared" si="15"/>
        <v>44857</v>
      </c>
      <c r="I29" s="1167">
        <f t="shared" si="15"/>
        <v>44864</v>
      </c>
      <c r="J29" s="1168">
        <f t="shared" si="15"/>
        <v>44871</v>
      </c>
      <c r="K29" s="1168">
        <f t="shared" si="15"/>
        <v>44878</v>
      </c>
      <c r="L29" s="1168">
        <f t="shared" si="15"/>
        <v>44885</v>
      </c>
      <c r="M29" s="1169">
        <f t="shared" si="15"/>
        <v>44892</v>
      </c>
      <c r="N29" s="1167">
        <f t="shared" si="15"/>
        <v>44899</v>
      </c>
      <c r="O29" s="1168">
        <f t="shared" si="15"/>
        <v>44906</v>
      </c>
      <c r="P29" s="1168">
        <f t="shared" si="15"/>
        <v>44913</v>
      </c>
      <c r="Q29" s="1169">
        <f t="shared" si="15"/>
        <v>44920</v>
      </c>
      <c r="R29" s="131"/>
      <c r="S29" s="133"/>
      <c r="U29" s="127">
        <f>(AG21+7)</f>
        <v>45565</v>
      </c>
      <c r="V29" s="128">
        <f t="shared" ref="V29:AG29" si="16">(U29+7)</f>
        <v>45572</v>
      </c>
      <c r="W29" s="128">
        <f t="shared" si="16"/>
        <v>45579</v>
      </c>
      <c r="X29" s="128">
        <f t="shared" si="16"/>
        <v>45586</v>
      </c>
      <c r="Y29" s="128">
        <f t="shared" si="16"/>
        <v>45593</v>
      </c>
      <c r="Z29" s="128">
        <f t="shared" si="16"/>
        <v>45600</v>
      </c>
      <c r="AA29" s="128">
        <f t="shared" si="16"/>
        <v>45607</v>
      </c>
      <c r="AB29" s="128">
        <f t="shared" si="16"/>
        <v>45614</v>
      </c>
      <c r="AC29" s="128">
        <f t="shared" si="16"/>
        <v>45621</v>
      </c>
      <c r="AD29" s="128">
        <f t="shared" si="16"/>
        <v>45628</v>
      </c>
      <c r="AE29" s="128">
        <f t="shared" si="16"/>
        <v>45635</v>
      </c>
      <c r="AF29" s="128">
        <f t="shared" si="16"/>
        <v>45642</v>
      </c>
      <c r="AG29" s="129">
        <f t="shared" si="16"/>
        <v>45649</v>
      </c>
      <c r="AH29" s="131"/>
      <c r="AI29" s="131"/>
      <c r="AJ29" s="131"/>
      <c r="AK29" s="131"/>
      <c r="AL29" s="131"/>
      <c r="AM29" s="131"/>
      <c r="AN29" s="131"/>
      <c r="AO29" s="131"/>
      <c r="AP29" s="131"/>
      <c r="AQ29" s="131"/>
      <c r="AR29" s="131"/>
      <c r="AS29" s="131"/>
      <c r="AT29" s="131"/>
      <c r="AU29" s="131"/>
      <c r="AV29" s="131"/>
      <c r="AW29" s="131"/>
      <c r="AX29" s="131"/>
      <c r="AY29" s="131"/>
      <c r="AZ29" s="131"/>
      <c r="BA29" s="131"/>
    </row>
    <row r="30" spans="3:53" s="98" customFormat="1" ht="15" customHeight="1">
      <c r="E30" s="140"/>
      <c r="F30" s="138"/>
      <c r="G30" s="128"/>
      <c r="H30" s="129"/>
      <c r="I30" s="127"/>
      <c r="J30" s="128"/>
      <c r="K30" s="128"/>
      <c r="L30" s="128"/>
      <c r="M30" s="129"/>
      <c r="N30" s="127"/>
      <c r="O30" s="128"/>
      <c r="P30" s="128"/>
      <c r="Q30" s="129"/>
      <c r="R30" s="131"/>
      <c r="S30" s="133"/>
      <c r="U30" s="140"/>
      <c r="V30" s="138"/>
      <c r="W30" s="128"/>
      <c r="X30" s="128"/>
      <c r="Y30" s="128"/>
      <c r="Z30" s="128"/>
      <c r="AA30" s="128"/>
      <c r="AB30" s="128"/>
      <c r="AC30" s="128"/>
      <c r="AD30" s="128"/>
      <c r="AE30" s="128"/>
      <c r="AF30" s="128"/>
      <c r="AG30" s="129"/>
      <c r="AH30" s="131"/>
      <c r="AI30" s="131"/>
      <c r="AJ30" s="131"/>
      <c r="AK30" s="131"/>
      <c r="AL30" s="131"/>
      <c r="AM30" s="131"/>
      <c r="AN30" s="131"/>
      <c r="AO30" s="131"/>
      <c r="AP30" s="131"/>
      <c r="AQ30" s="131"/>
      <c r="AR30" s="131"/>
      <c r="AS30" s="131"/>
      <c r="AT30" s="131"/>
      <c r="AU30" s="131"/>
      <c r="AV30" s="131"/>
      <c r="AW30" s="131"/>
      <c r="AX30" s="131"/>
      <c r="AY30" s="131"/>
      <c r="AZ30" s="131"/>
      <c r="BA30" s="131"/>
    </row>
    <row r="31" spans="3:53" s="98" customFormat="1" ht="24.75" customHeight="1">
      <c r="C31" s="100" t="s">
        <v>115</v>
      </c>
      <c r="D31" s="104">
        <f>SUM(E31:Q31)</f>
        <v>339</v>
      </c>
      <c r="E31" s="1735" t="s">
        <v>76</v>
      </c>
      <c r="F31" s="1693"/>
      <c r="G31" s="1693"/>
      <c r="H31" s="1717"/>
      <c r="I31" s="1735" t="s">
        <v>119</v>
      </c>
      <c r="J31" s="1693"/>
      <c r="K31" s="1693"/>
      <c r="L31" s="1693"/>
      <c r="M31" s="1717"/>
      <c r="N31" s="1736">
        <v>339</v>
      </c>
      <c r="O31" s="1737"/>
      <c r="P31" s="1715" t="s">
        <v>118</v>
      </c>
      <c r="Q31" s="1717"/>
      <c r="R31" s="131"/>
      <c r="S31" s="106" t="s">
        <v>115</v>
      </c>
      <c r="T31" s="104">
        <f>SUM(U31:AG31)</f>
        <v>230</v>
      </c>
      <c r="U31" s="1738" t="s">
        <v>76</v>
      </c>
      <c r="V31" s="1739"/>
      <c r="W31" s="1685">
        <v>230</v>
      </c>
      <c r="X31" s="1686"/>
      <c r="Y31" s="1713" t="s">
        <v>119</v>
      </c>
      <c r="Z31" s="1713"/>
      <c r="AA31" s="1713"/>
      <c r="AB31" s="1714"/>
      <c r="AC31" s="1174"/>
      <c r="AD31" s="1713" t="s">
        <v>119</v>
      </c>
      <c r="AE31" s="1713"/>
      <c r="AF31" s="1713"/>
      <c r="AG31" s="1714"/>
      <c r="AH31" s="131"/>
      <c r="AI31" s="131"/>
      <c r="AJ31" s="131"/>
      <c r="AK31" s="131"/>
      <c r="AL31" s="131"/>
      <c r="AM31" s="131"/>
      <c r="AN31" s="131"/>
      <c r="AO31" s="131"/>
      <c r="AP31" s="131"/>
      <c r="AQ31" s="131"/>
      <c r="AR31" s="131"/>
      <c r="AS31" s="131"/>
      <c r="AT31" s="131"/>
      <c r="AU31" s="131"/>
      <c r="AV31" s="131"/>
      <c r="AW31" s="131"/>
      <c r="AX31" s="131"/>
      <c r="AY31" s="131"/>
      <c r="AZ31" s="131"/>
      <c r="BA31" s="131"/>
    </row>
    <row r="32" spans="3:53" s="98" customFormat="1" ht="24.75" customHeight="1">
      <c r="C32" s="100" t="s">
        <v>116</v>
      </c>
      <c r="D32" s="104">
        <f>SUM(E32:Q32)</f>
        <v>60.230000000000004</v>
      </c>
      <c r="E32" s="1740" t="s">
        <v>119</v>
      </c>
      <c r="F32" s="1741"/>
      <c r="G32" s="1742" t="s">
        <v>119</v>
      </c>
      <c r="H32" s="1694"/>
      <c r="I32" s="1743" t="s">
        <v>119</v>
      </c>
      <c r="J32" s="1694"/>
      <c r="K32" s="1175">
        <f>49+11.23</f>
        <v>60.230000000000004</v>
      </c>
      <c r="L32" s="1744" t="s">
        <v>118</v>
      </c>
      <c r="M32" s="1745"/>
      <c r="N32" s="1746" t="s">
        <v>119</v>
      </c>
      <c r="O32" s="1695"/>
      <c r="P32" s="1695"/>
      <c r="Q32" s="1747"/>
      <c r="R32" s="131"/>
      <c r="S32" s="106" t="s">
        <v>116</v>
      </c>
      <c r="T32" s="104">
        <f>SUM(U32:AG32)</f>
        <v>85</v>
      </c>
      <c r="U32" s="1740" t="s">
        <v>76</v>
      </c>
      <c r="V32" s="1741"/>
      <c r="W32" s="1740" t="s">
        <v>76</v>
      </c>
      <c r="X32" s="1741"/>
      <c r="Y32" s="1698">
        <v>85</v>
      </c>
      <c r="Z32" s="1699"/>
      <c r="AA32" s="1748" t="s">
        <v>118</v>
      </c>
      <c r="AB32" s="1748"/>
      <c r="AC32" s="1748"/>
      <c r="AD32" s="1697" t="s">
        <v>76</v>
      </c>
      <c r="AE32" s="1695"/>
      <c r="AF32" s="1695"/>
      <c r="AG32" s="1747"/>
      <c r="AH32" s="131"/>
      <c r="AI32" s="131"/>
      <c r="AJ32" s="131"/>
      <c r="AK32" s="131"/>
      <c r="AL32" s="131"/>
      <c r="AM32" s="131"/>
      <c r="AN32" s="131"/>
      <c r="AO32" s="131"/>
      <c r="AP32" s="131"/>
      <c r="AQ32" s="131"/>
      <c r="AR32" s="131"/>
      <c r="AS32" s="131"/>
      <c r="AT32" s="131"/>
      <c r="AU32" s="131"/>
      <c r="AV32" s="131"/>
      <c r="AW32" s="131"/>
      <c r="AX32" s="131"/>
      <c r="AY32" s="131"/>
      <c r="AZ32" s="131"/>
      <c r="BA32" s="131"/>
    </row>
    <row r="33" spans="3:53" s="98" customFormat="1" ht="24.75" customHeight="1" thickBot="1">
      <c r="C33" s="100" t="s">
        <v>117</v>
      </c>
      <c r="D33" s="107">
        <f>SUM(E33:Q33)</f>
        <v>30000</v>
      </c>
      <c r="E33" s="1160">
        <v>10000</v>
      </c>
      <c r="F33" s="1158"/>
      <c r="G33" s="1158"/>
      <c r="H33" s="1159"/>
      <c r="I33" s="1160"/>
      <c r="J33" s="1158">
        <v>10000</v>
      </c>
      <c r="K33" s="1158"/>
      <c r="L33" s="1158"/>
      <c r="M33" s="1159"/>
      <c r="N33" s="1160">
        <v>10000</v>
      </c>
      <c r="O33" s="1158"/>
      <c r="P33" s="1158"/>
      <c r="Q33" s="1159"/>
      <c r="R33" s="131"/>
      <c r="S33" s="106" t="s">
        <v>117</v>
      </c>
      <c r="T33" s="107">
        <f>SUM(U33:AG33)</f>
        <v>90000</v>
      </c>
      <c r="U33" s="1730"/>
      <c r="V33" s="1700"/>
      <c r="W33" s="1730">
        <v>10000</v>
      </c>
      <c r="X33" s="1700"/>
      <c r="Y33" s="1701">
        <v>20000</v>
      </c>
      <c r="Z33" s="1702"/>
      <c r="AA33" s="1700">
        <v>20000</v>
      </c>
      <c r="AB33" s="1700"/>
      <c r="AC33" s="1701">
        <v>20000</v>
      </c>
      <c r="AD33" s="1702"/>
      <c r="AE33" s="1701">
        <v>20000</v>
      </c>
      <c r="AF33" s="1749"/>
      <c r="AG33" s="1750"/>
      <c r="AH33" s="131"/>
      <c r="AI33" s="131"/>
      <c r="AJ33" s="131"/>
      <c r="AK33" s="131"/>
      <c r="AL33" s="131"/>
      <c r="AM33" s="131"/>
      <c r="AN33" s="131"/>
      <c r="AO33" s="131"/>
      <c r="AP33" s="131"/>
      <c r="AQ33" s="131"/>
      <c r="AR33" s="131"/>
      <c r="AS33" s="131"/>
      <c r="AT33" s="131"/>
      <c r="AU33" s="131"/>
      <c r="AV33" s="131"/>
      <c r="AW33" s="131"/>
      <c r="AX33" s="131"/>
      <c r="AY33" s="131"/>
      <c r="AZ33" s="131"/>
      <c r="BA33" s="131"/>
    </row>
    <row r="34" spans="3:53" s="97" customFormat="1" ht="15" customHeight="1">
      <c r="E34" s="141"/>
      <c r="F34" s="141"/>
      <c r="G34" s="141"/>
      <c r="H34" s="141"/>
      <c r="I34" s="141"/>
      <c r="J34" s="141"/>
      <c r="K34" s="141"/>
      <c r="L34" s="141"/>
      <c r="M34" s="141"/>
      <c r="N34" s="141"/>
      <c r="O34" s="141"/>
      <c r="P34" s="141"/>
      <c r="Q34" s="141"/>
      <c r="R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row>
    <row r="41" spans="3:53" ht="15" customHeight="1">
      <c r="K41" s="142"/>
      <c r="AA41" s="142"/>
    </row>
  </sheetData>
  <mergeCells count="91">
    <mergeCell ref="AE33:AG33"/>
    <mergeCell ref="U33:V33"/>
    <mergeCell ref="W33:X33"/>
    <mergeCell ref="Y33:Z33"/>
    <mergeCell ref="AA33:AB33"/>
    <mergeCell ref="AC33:AD33"/>
    <mergeCell ref="U32:V32"/>
    <mergeCell ref="W32:X32"/>
    <mergeCell ref="Y32:Z32"/>
    <mergeCell ref="AA32:AC32"/>
    <mergeCell ref="AD32:AG32"/>
    <mergeCell ref="E32:F32"/>
    <mergeCell ref="G32:H32"/>
    <mergeCell ref="I32:J32"/>
    <mergeCell ref="L32:M32"/>
    <mergeCell ref="N32:Q32"/>
    <mergeCell ref="E27:H27"/>
    <mergeCell ref="I27:M27"/>
    <mergeCell ref="N27:Q27"/>
    <mergeCell ref="AD27:AG27"/>
    <mergeCell ref="E31:H31"/>
    <mergeCell ref="I31:M31"/>
    <mergeCell ref="N31:O31"/>
    <mergeCell ref="P31:Q31"/>
    <mergeCell ref="U31:V31"/>
    <mergeCell ref="W31:X31"/>
    <mergeCell ref="Y31:AB31"/>
    <mergeCell ref="AD31:AG31"/>
    <mergeCell ref="U24:V24"/>
    <mergeCell ref="W24:X24"/>
    <mergeCell ref="Y24:AG24"/>
    <mergeCell ref="U25:V25"/>
    <mergeCell ref="W25:X25"/>
    <mergeCell ref="Y25:Z25"/>
    <mergeCell ref="AA25:AB25"/>
    <mergeCell ref="AD25:AE25"/>
    <mergeCell ref="AF25:AG25"/>
    <mergeCell ref="AD23:AG23"/>
    <mergeCell ref="E19:H19"/>
    <mergeCell ref="I19:M19"/>
    <mergeCell ref="N19:Q19"/>
    <mergeCell ref="U19:X19"/>
    <mergeCell ref="Y19:AC19"/>
    <mergeCell ref="AD19:AG19"/>
    <mergeCell ref="E23:F23"/>
    <mergeCell ref="G23:H23"/>
    <mergeCell ref="U23:V23"/>
    <mergeCell ref="W23:X23"/>
    <mergeCell ref="Y23:AC23"/>
    <mergeCell ref="U16:V16"/>
    <mergeCell ref="W16:AG16"/>
    <mergeCell ref="U17:V17"/>
    <mergeCell ref="W17:X17"/>
    <mergeCell ref="Y17:Z17"/>
    <mergeCell ref="AA17:AB17"/>
    <mergeCell ref="AC17:AD17"/>
    <mergeCell ref="AE17:AF17"/>
    <mergeCell ref="AQ11:AT11"/>
    <mergeCell ref="AR12:AS12"/>
    <mergeCell ref="AR13:AS13"/>
    <mergeCell ref="M15:N15"/>
    <mergeCell ref="O15:Q15"/>
    <mergeCell ref="U15:V15"/>
    <mergeCell ref="W15:X15"/>
    <mergeCell ref="Y15:AC15"/>
    <mergeCell ref="AD15:AG15"/>
    <mergeCell ref="AR15:AS15"/>
    <mergeCell ref="Y9:Z9"/>
    <mergeCell ref="AA9:AB9"/>
    <mergeCell ref="AC9:AD9"/>
    <mergeCell ref="AE9:AF9"/>
    <mergeCell ref="E11:H11"/>
    <mergeCell ref="I11:L11"/>
    <mergeCell ref="M11:Q11"/>
    <mergeCell ref="U11:X11"/>
    <mergeCell ref="K9:L9"/>
    <mergeCell ref="M9:N9"/>
    <mergeCell ref="O9:P9"/>
    <mergeCell ref="U9:V9"/>
    <mergeCell ref="W9:X9"/>
    <mergeCell ref="U8:V8"/>
    <mergeCell ref="W8:X8"/>
    <mergeCell ref="Z8:AC8"/>
    <mergeCell ref="AD8:AE8"/>
    <mergeCell ref="AF8:AG8"/>
    <mergeCell ref="AF7:AG7"/>
    <mergeCell ref="E7:F7"/>
    <mergeCell ref="G7:H7"/>
    <mergeCell ref="U7:V7"/>
    <mergeCell ref="W7:X7"/>
    <mergeCell ref="Z7:AD7"/>
  </mergeCells>
  <conditionalFormatting sqref="E9:Q9 E17:Q17 E25:Q25 E33:Q33">
    <cfRule type="notContainsBlanks" dxfId="9" priority="1">
      <formula>LEN(TRIM(E9))&gt;0</formula>
    </cfRule>
  </conditionalFormatting>
  <printOptions horizontalCentered="1"/>
  <pageMargins left="0.70866141732283472" right="0.70866141732283472" top="0.74803149606299213" bottom="0.74803149606299213" header="0" footer="0"/>
  <pageSetup paperSize="119" scale="89" fitToHeight="2"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9ADA-7DBC-4DCD-8AF1-4C1699075ADD}">
  <dimension ref="B2:X144"/>
  <sheetViews>
    <sheetView workbookViewId="0"/>
  </sheetViews>
  <sheetFormatPr baseColWidth="10" defaultRowHeight="15"/>
  <cols>
    <col min="2" max="2" width="12.7109375" customWidth="1"/>
    <col min="3" max="3" width="9.85546875" customWidth="1"/>
    <col min="4" max="4" width="10.5703125" customWidth="1"/>
    <col min="5" max="5" width="14.7109375" customWidth="1"/>
    <col min="6" max="6" width="12.140625" customWidth="1"/>
    <col min="7" max="7" width="17" customWidth="1"/>
    <col min="8" max="8" width="13.42578125" customWidth="1"/>
    <col min="9" max="9" width="10" customWidth="1"/>
    <col min="10" max="10" width="13.42578125" customWidth="1"/>
    <col min="11" max="11" width="13" customWidth="1"/>
    <col min="12" max="12" width="12.140625" customWidth="1"/>
    <col min="13" max="13" width="13.5703125" customWidth="1"/>
    <col min="14" max="14" width="14.5703125" customWidth="1"/>
    <col min="15" max="16" width="15" customWidth="1"/>
    <col min="17" max="17" width="13.42578125" bestFit="1" customWidth="1"/>
    <col min="18" max="18" width="16.140625" bestFit="1" customWidth="1"/>
    <col min="19" max="19" width="13.7109375" customWidth="1"/>
    <col min="20" max="20" width="17.7109375" bestFit="1" customWidth="1"/>
    <col min="24" max="24" width="14" customWidth="1"/>
  </cols>
  <sheetData>
    <row r="2" spans="2:11">
      <c r="B2" s="122"/>
      <c r="C2" s="1245">
        <f>SUM(D2:H2)</f>
        <v>1</v>
      </c>
      <c r="D2" s="1244">
        <v>0.55000000000000004</v>
      </c>
      <c r="E2" s="1244">
        <v>0.1</v>
      </c>
      <c r="F2" s="1244">
        <v>0.2</v>
      </c>
      <c r="G2" s="1244">
        <v>2.5000000000000001E-2</v>
      </c>
      <c r="H2" s="1244">
        <v>0.125</v>
      </c>
    </row>
    <row r="3" spans="2:11">
      <c r="B3" s="122"/>
      <c r="C3" s="1245">
        <f>SUM(D3:H3)</f>
        <v>1</v>
      </c>
      <c r="D3" s="1244">
        <f>(D5/SUM(D5:H5))</f>
        <v>0.51987303008739172</v>
      </c>
      <c r="E3" s="1244">
        <f>(E5/SUM(D5:H5))</f>
        <v>0.10092828758525293</v>
      </c>
      <c r="F3" s="1244">
        <f>(F5/SUM(D5:H5))</f>
        <v>0.22547553750329818</v>
      </c>
      <c r="G3" s="1244">
        <f>(G5/SUM(D5:H5))</f>
        <v>2.8192437774348558E-2</v>
      </c>
      <c r="H3" s="1244">
        <f>(H5/SUM(D5:H5))</f>
        <v>0.12553070704970856</v>
      </c>
    </row>
    <row r="4" spans="2:11" ht="15.75">
      <c r="B4" s="122"/>
      <c r="C4" s="97"/>
      <c r="D4" s="147" t="s">
        <v>115</v>
      </c>
      <c r="E4" s="147" t="s">
        <v>116</v>
      </c>
      <c r="F4" s="148" t="s">
        <v>117</v>
      </c>
      <c r="G4" s="197" t="s">
        <v>881</v>
      </c>
      <c r="H4" s="197" t="s">
        <v>502</v>
      </c>
      <c r="J4" s="77"/>
      <c r="K4" s="77"/>
    </row>
    <row r="5" spans="2:11">
      <c r="B5" s="122" t="s">
        <v>124</v>
      </c>
      <c r="C5" s="97"/>
      <c r="D5" s="149">
        <v>650200</v>
      </c>
      <c r="E5" s="149">
        <v>126230</v>
      </c>
      <c r="F5" s="150">
        <v>282000</v>
      </c>
      <c r="G5" s="150">
        <v>35260</v>
      </c>
      <c r="H5" s="150">
        <v>157000</v>
      </c>
      <c r="J5" s="77"/>
      <c r="K5" s="77"/>
    </row>
    <row r="6" spans="2:11">
      <c r="B6" s="122" t="s">
        <v>122</v>
      </c>
      <c r="C6" s="97"/>
      <c r="D6" s="146">
        <v>780240</v>
      </c>
      <c r="E6" s="146">
        <v>252460</v>
      </c>
      <c r="F6" s="146">
        <v>70500</v>
      </c>
      <c r="G6" s="146">
        <v>477318.69110800064</v>
      </c>
      <c r="H6" s="146">
        <v>751263.84</v>
      </c>
      <c r="J6" s="77"/>
      <c r="K6" s="77"/>
    </row>
    <row r="7" spans="2:11">
      <c r="B7" s="122" t="s">
        <v>120</v>
      </c>
      <c r="C7" s="77"/>
      <c r="D7" s="151">
        <f>(0.94*D5*D2)</f>
        <v>336153.4</v>
      </c>
      <c r="E7" s="151">
        <f>(1.09*E5*E2)</f>
        <v>13759.070000000002</v>
      </c>
      <c r="F7" s="151">
        <f>(0.31*F5*F2)</f>
        <v>17484</v>
      </c>
      <c r="G7" s="151">
        <f>(0.09*G5*G2)</f>
        <v>79.335000000000008</v>
      </c>
      <c r="H7" s="151">
        <f>(0.17*H5*H2)</f>
        <v>3336.2500000000005</v>
      </c>
      <c r="J7" s="77"/>
      <c r="K7" s="77"/>
    </row>
    <row r="8" spans="2:11" ht="15.75" thickBot="1">
      <c r="B8" s="122"/>
      <c r="C8" s="151"/>
      <c r="D8" s="152">
        <f>SUM(D6:D7)</f>
        <v>1116393.3999999999</v>
      </c>
      <c r="E8" s="152">
        <f>SUM(E6:E7)</f>
        <v>266219.07</v>
      </c>
      <c r="F8" s="152">
        <f>SUM(F6:F7)</f>
        <v>87984</v>
      </c>
      <c r="G8" s="152">
        <f>SUM(G6:G7)</f>
        <v>477398.02610800066</v>
      </c>
      <c r="H8" s="152">
        <f>SUM(H6:H7)</f>
        <v>754600.09</v>
      </c>
      <c r="J8" s="144">
        <f>SUM(D8:H8)</f>
        <v>2702594.5861080005</v>
      </c>
      <c r="K8" s="77"/>
    </row>
    <row r="9" spans="2:11" ht="15.75" thickTop="1">
      <c r="B9" s="122" t="s">
        <v>125</v>
      </c>
      <c r="C9" s="97"/>
      <c r="D9" s="153">
        <f>(D10-D8)/D8</f>
        <v>0.16482236458940022</v>
      </c>
      <c r="E9" s="153">
        <f>(E10-E8)/E8</f>
        <v>0.65955429113323849</v>
      </c>
      <c r="F9" s="153">
        <f>(F10-F8)/F8</f>
        <v>2.8461538461538463</v>
      </c>
      <c r="G9" s="153">
        <f>(G10-G8)/G8</f>
        <v>1.9543482018522809</v>
      </c>
      <c r="H9" s="153">
        <f>(H10-H8)/H8</f>
        <v>0.45640056841233617</v>
      </c>
      <c r="J9" s="144">
        <f>(J10-J8)</f>
        <v>1887410.4138919995</v>
      </c>
      <c r="K9" s="144">
        <f>(J9/12)</f>
        <v>157284.20115766663</v>
      </c>
    </row>
    <row r="10" spans="2:11">
      <c r="D10" s="154">
        <f>(D11*D5)</f>
        <v>1300400</v>
      </c>
      <c r="E10" s="154">
        <f>(E11*E5)</f>
        <v>441805</v>
      </c>
      <c r="F10" s="154">
        <f>(F11*F5)</f>
        <v>338400</v>
      </c>
      <c r="G10" s="154">
        <f>(G11*G5)</f>
        <v>1410400</v>
      </c>
      <c r="H10" s="154">
        <f>(H11*H5)</f>
        <v>1099000</v>
      </c>
      <c r="J10" s="144">
        <f>SUM(D10:H10)</f>
        <v>4590005</v>
      </c>
      <c r="K10" s="77"/>
    </row>
    <row r="11" spans="2:11">
      <c r="D11" s="155">
        <v>2</v>
      </c>
      <c r="E11" s="155">
        <v>3.5</v>
      </c>
      <c r="F11" s="156">
        <v>1.2</v>
      </c>
      <c r="G11" s="156">
        <v>40</v>
      </c>
      <c r="H11" s="156">
        <v>7</v>
      </c>
      <c r="J11" s="77"/>
    </row>
    <row r="13" spans="2:11">
      <c r="B13" s="122"/>
      <c r="C13" s="97"/>
      <c r="D13" s="144"/>
      <c r="E13" s="144"/>
      <c r="F13" s="144"/>
      <c r="G13" s="77"/>
      <c r="H13" s="77"/>
    </row>
    <row r="14" spans="2:11">
      <c r="B14" s="122"/>
      <c r="C14" s="1245">
        <f>SUM(D14:H14)</f>
        <v>1</v>
      </c>
      <c r="D14" s="1244">
        <v>0.55000000000000004</v>
      </c>
      <c r="E14" s="1244">
        <v>0.1</v>
      </c>
      <c r="F14" s="1244">
        <v>0.2</v>
      </c>
      <c r="G14" s="1244">
        <v>2.5000000000000001E-2</v>
      </c>
      <c r="H14" s="1244">
        <v>0.125</v>
      </c>
    </row>
    <row r="15" spans="2:11">
      <c r="B15" s="122"/>
      <c r="C15" s="1245">
        <f>SUM(D15:H15)</f>
        <v>1</v>
      </c>
      <c r="D15" s="1244">
        <f>(D17/SUM(D17:H17))</f>
        <v>0.51987303008739172</v>
      </c>
      <c r="E15" s="1244">
        <f>(E17/SUM(D17:H17))</f>
        <v>0.10092828758525293</v>
      </c>
      <c r="F15" s="1244">
        <f>(F17/SUM(D17:H17))</f>
        <v>0.22547553750329818</v>
      </c>
      <c r="G15" s="1244">
        <f>(G17/SUM(D17:H17))</f>
        <v>2.8192437774348558E-2</v>
      </c>
      <c r="H15" s="1244">
        <f>(H17/SUM(D17:H17))</f>
        <v>0.12553070704970856</v>
      </c>
    </row>
    <row r="16" spans="2:11" ht="15.75">
      <c r="B16" s="122"/>
      <c r="C16" s="97"/>
      <c r="D16" s="147" t="s">
        <v>115</v>
      </c>
      <c r="E16" s="147" t="s">
        <v>116</v>
      </c>
      <c r="F16" s="148" t="s">
        <v>117</v>
      </c>
      <c r="G16" s="197" t="s">
        <v>881</v>
      </c>
      <c r="H16" s="197" t="s">
        <v>502</v>
      </c>
      <c r="J16" s="77"/>
      <c r="K16" s="77"/>
    </row>
    <row r="17" spans="2:24">
      <c r="B17" s="122" t="s">
        <v>124</v>
      </c>
      <c r="C17" s="97"/>
      <c r="D17" s="149">
        <v>650200</v>
      </c>
      <c r="E17" s="149">
        <v>126230</v>
      </c>
      <c r="F17" s="150">
        <v>282000</v>
      </c>
      <c r="G17" s="150">
        <v>35260</v>
      </c>
      <c r="H17" s="150">
        <v>157000</v>
      </c>
      <c r="J17" s="77"/>
      <c r="K17" s="77"/>
    </row>
    <row r="18" spans="2:24">
      <c r="B18" s="122" t="s">
        <v>122</v>
      </c>
      <c r="C18" s="97"/>
      <c r="D18" s="146">
        <v>780240</v>
      </c>
      <c r="E18" s="146">
        <v>252460</v>
      </c>
      <c r="F18" s="146">
        <v>70500</v>
      </c>
      <c r="G18" s="146">
        <v>477318.69110800064</v>
      </c>
      <c r="H18" s="146">
        <v>751263.84</v>
      </c>
      <c r="J18" s="77"/>
      <c r="K18" s="77"/>
    </row>
    <row r="19" spans="2:24">
      <c r="B19" s="122" t="s">
        <v>120</v>
      </c>
      <c r="C19" s="77"/>
      <c r="D19" s="151">
        <f>(2.59*D17*D14)</f>
        <v>926209.9</v>
      </c>
      <c r="E19" s="151">
        <f>(2.59*E17*E14)</f>
        <v>32693.569999999996</v>
      </c>
      <c r="F19" s="151">
        <f>(2.59*F17*F14)</f>
        <v>146076</v>
      </c>
      <c r="G19" s="151">
        <f>(2.59*G17*G14)</f>
        <v>2283.085</v>
      </c>
      <c r="H19" s="151">
        <f>(2.59*H17*H14)</f>
        <v>50828.75</v>
      </c>
      <c r="J19" s="77"/>
      <c r="K19" s="77"/>
    </row>
    <row r="20" spans="2:24" ht="15.75" thickBot="1">
      <c r="B20" s="122"/>
      <c r="C20" s="151"/>
      <c r="D20" s="152">
        <f>SUM(D18:D19)</f>
        <v>1706449.9</v>
      </c>
      <c r="E20" s="152">
        <f>SUM(E18:E19)</f>
        <v>285153.57</v>
      </c>
      <c r="F20" s="152">
        <f>SUM(F18:F19)</f>
        <v>216576</v>
      </c>
      <c r="G20" s="152">
        <f>SUM(G18:G19)</f>
        <v>479601.77610800066</v>
      </c>
      <c r="H20" s="152">
        <f>SUM(H18:H19)</f>
        <v>802092.59</v>
      </c>
      <c r="J20" s="144">
        <f>SUM(D20:H20)</f>
        <v>3489873.836108</v>
      </c>
      <c r="K20" s="77"/>
    </row>
    <row r="21" spans="2:24" ht="15.75" thickTop="1">
      <c r="B21" s="122" t="s">
        <v>125</v>
      </c>
      <c r="C21" s="97"/>
      <c r="D21" s="153">
        <f>(D22-D20)/D20</f>
        <v>-0.23795008573061532</v>
      </c>
      <c r="E21" s="153">
        <f>(E22-E20)/E20</f>
        <v>0.54935812306330234</v>
      </c>
      <c r="F21" s="153">
        <f>(F22-F20)/F20</f>
        <v>0.5625</v>
      </c>
      <c r="G21" s="153">
        <f>(G22-G20)/G20</f>
        <v>1.9407730960579148</v>
      </c>
      <c r="H21" s="153">
        <f>(H22-H20)/H20</f>
        <v>0.37016600539845412</v>
      </c>
      <c r="J21" s="144">
        <f>(J22-J20)</f>
        <v>1100131.163892</v>
      </c>
      <c r="K21" s="144">
        <f>(J21/12)</f>
        <v>91677.596990999999</v>
      </c>
    </row>
    <row r="22" spans="2:24">
      <c r="D22" s="154">
        <f>(D23*D17)</f>
        <v>1300400</v>
      </c>
      <c r="E22" s="154">
        <f>(E23*E17)</f>
        <v>441805</v>
      </c>
      <c r="F22" s="154">
        <f>(F23*F17)</f>
        <v>338400</v>
      </c>
      <c r="G22" s="154">
        <f>(G23*G17)</f>
        <v>1410400</v>
      </c>
      <c r="H22" s="154">
        <f>(H23*H17)</f>
        <v>1099000</v>
      </c>
      <c r="J22" s="144">
        <f>SUM(D22:H22)</f>
        <v>4590005</v>
      </c>
      <c r="K22" s="77"/>
    </row>
    <row r="23" spans="2:24">
      <c r="D23" s="155">
        <v>2</v>
      </c>
      <c r="E23" s="155">
        <v>3.5</v>
      </c>
      <c r="F23" s="156">
        <v>1.2</v>
      </c>
      <c r="G23" s="156">
        <v>40</v>
      </c>
      <c r="H23" s="156">
        <v>7</v>
      </c>
      <c r="J23" s="77"/>
    </row>
    <row r="24" spans="2:24">
      <c r="D24" s="77"/>
      <c r="E24" s="77"/>
      <c r="F24" s="77"/>
      <c r="G24" s="77"/>
      <c r="H24" s="77"/>
    </row>
    <row r="28" spans="2:24">
      <c r="B28" s="77"/>
      <c r="C28" s="77"/>
      <c r="D28" s="144">
        <f>(D35/D32)</f>
        <v>1.6763973065218114</v>
      </c>
      <c r="E28" s="144">
        <f t="shared" ref="E28" si="0">(E35/E32)</f>
        <v>2.0377364744966937</v>
      </c>
      <c r="F28" s="144">
        <f>(F35/F32)</f>
        <v>1.178438122848342</v>
      </c>
      <c r="G28" s="77"/>
      <c r="H28" s="77"/>
      <c r="J28" s="77"/>
      <c r="K28" s="77"/>
      <c r="L28" s="144">
        <f>(L35/L32)</f>
        <v>1.4218197734858018</v>
      </c>
      <c r="M28" s="144">
        <f t="shared" ref="M28:N28" si="1">(M35/M32)</f>
        <v>1.7831589414606843</v>
      </c>
      <c r="N28" s="144">
        <f t="shared" si="1"/>
        <v>0.92386058981233254</v>
      </c>
      <c r="O28" s="77"/>
      <c r="P28" s="77"/>
      <c r="R28" t="s">
        <v>187</v>
      </c>
      <c r="S28" t="s">
        <v>188</v>
      </c>
      <c r="T28" s="97"/>
    </row>
    <row r="29" spans="2:24">
      <c r="B29" s="122" t="s">
        <v>120</v>
      </c>
      <c r="C29" s="97" t="s">
        <v>121</v>
      </c>
      <c r="D29" s="146">
        <f>((90000*12)/SUM(D32:F32))</f>
        <v>0.97843812284834208</v>
      </c>
      <c r="E29" s="146">
        <f>((90000*12)/SUM(D32:F32))</f>
        <v>0.97843812284834208</v>
      </c>
      <c r="F29" s="146">
        <f>((90000*12)/SUM(D32:F32))</f>
        <v>0.97843812284834208</v>
      </c>
      <c r="G29" s="77"/>
      <c r="H29" s="77"/>
      <c r="J29" s="122" t="s">
        <v>120</v>
      </c>
      <c r="K29" s="97" t="s">
        <v>121</v>
      </c>
      <c r="L29" s="146">
        <f>((90000*12)/SUM(L32:N32))</f>
        <v>0.72386058981233248</v>
      </c>
      <c r="M29" s="146">
        <f>((90000*12)/SUM(L32:N32))</f>
        <v>0.72386058981233248</v>
      </c>
      <c r="N29" s="146">
        <f>((90000*12)/SUM(L32:N32))</f>
        <v>0.72386058981233248</v>
      </c>
      <c r="O29" s="77"/>
      <c r="P29" s="77"/>
      <c r="R29" t="s">
        <v>192</v>
      </c>
      <c r="S29" s="196" t="s">
        <v>193</v>
      </c>
      <c r="T29" s="77"/>
    </row>
    <row r="30" spans="2:24">
      <c r="B30" s="122" t="s">
        <v>122</v>
      </c>
      <c r="C30" s="97" t="s">
        <v>123</v>
      </c>
      <c r="D30" s="144">
        <f>(N127)</f>
        <v>0.69795918367346932</v>
      </c>
      <c r="E30" s="144">
        <f>(L92)</f>
        <v>1.0592983516483516</v>
      </c>
      <c r="F30" s="144">
        <v>0.2</v>
      </c>
      <c r="G30" s="77"/>
      <c r="H30" s="77"/>
      <c r="J30" s="122" t="s">
        <v>122</v>
      </c>
      <c r="K30" s="97" t="s">
        <v>123</v>
      </c>
      <c r="L30" s="144">
        <f>(N127)</f>
        <v>0.69795918367346932</v>
      </c>
      <c r="M30" s="144">
        <f>(L92)</f>
        <v>1.0592983516483516</v>
      </c>
      <c r="N30" s="144">
        <v>0.2</v>
      </c>
      <c r="O30" s="77"/>
      <c r="P30" s="77"/>
      <c r="R30" t="s">
        <v>189</v>
      </c>
      <c r="S30" s="195">
        <f>(H46)</f>
        <v>2.4263992685230336E-2</v>
      </c>
      <c r="T30" s="193">
        <v>19.600000000000001</v>
      </c>
      <c r="V30" t="s">
        <v>189</v>
      </c>
      <c r="W30" s="195">
        <f>(H46)</f>
        <v>2.4263992685230336E-2</v>
      </c>
      <c r="X30" s="193">
        <v>19.600000000000001</v>
      </c>
    </row>
    <row r="31" spans="2:24" ht="15.75">
      <c r="B31" s="122"/>
      <c r="C31" s="97"/>
      <c r="D31" s="147" t="s">
        <v>115</v>
      </c>
      <c r="E31" s="147" t="s">
        <v>116</v>
      </c>
      <c r="F31" s="148" t="s">
        <v>117</v>
      </c>
      <c r="G31" s="77"/>
      <c r="H31" s="77"/>
      <c r="J31" s="122"/>
      <c r="K31" s="97"/>
      <c r="L31" s="147" t="s">
        <v>115</v>
      </c>
      <c r="M31" s="147" t="s">
        <v>116</v>
      </c>
      <c r="N31" s="148" t="s">
        <v>117</v>
      </c>
      <c r="O31" s="77"/>
      <c r="P31" s="77"/>
      <c r="R31" s="143" t="s">
        <v>186</v>
      </c>
      <c r="S31" s="200">
        <f>(PI()*(6.15^2)*2.55)/3</f>
        <v>100.99945491933995</v>
      </c>
      <c r="T31" s="201">
        <f>(S31*T30)/S30</f>
        <v>81585.47284858246</v>
      </c>
      <c r="V31" t="s">
        <v>150</v>
      </c>
      <c r="W31" s="194">
        <f>((6.1*2)/2)*22.8</f>
        <v>139.07999999999998</v>
      </c>
    </row>
    <row r="32" spans="2:24">
      <c r="B32" s="122" t="s">
        <v>124</v>
      </c>
      <c r="C32" s="97"/>
      <c r="D32" s="149">
        <f>535.5*1000</f>
        <v>535500</v>
      </c>
      <c r="E32" s="149">
        <f>374.3*1000</f>
        <v>374300</v>
      </c>
      <c r="F32" s="150">
        <v>194000</v>
      </c>
      <c r="G32" s="77"/>
      <c r="H32" s="77"/>
      <c r="J32" s="122" t="s">
        <v>124</v>
      </c>
      <c r="K32" s="97"/>
      <c r="L32" s="149">
        <v>630000</v>
      </c>
      <c r="M32" s="149">
        <v>612000</v>
      </c>
      <c r="N32" s="150">
        <v>250000</v>
      </c>
      <c r="O32" s="77"/>
      <c r="P32" s="77"/>
      <c r="R32" s="1164">
        <v>1</v>
      </c>
      <c r="S32" s="143"/>
      <c r="T32" s="1164">
        <f>(R32*T31)</f>
        <v>81585.47284858246</v>
      </c>
      <c r="V32" s="197" t="s">
        <v>150</v>
      </c>
      <c r="W32" s="198">
        <f>W31</f>
        <v>139.07999999999998</v>
      </c>
      <c r="X32" s="199">
        <f>(W32*X30)/W30</f>
        <v>112346.22575777958</v>
      </c>
    </row>
    <row r="33" spans="2:24">
      <c r="B33" s="122" t="s">
        <v>122</v>
      </c>
      <c r="C33" s="97"/>
      <c r="D33" s="146">
        <f>(D30*D32)</f>
        <v>373757.14285714284</v>
      </c>
      <c r="E33" s="146">
        <f>(E30*E32)</f>
        <v>396495.37302197801</v>
      </c>
      <c r="F33" s="146">
        <f>(F30*F32)</f>
        <v>38800</v>
      </c>
      <c r="G33" s="77"/>
      <c r="H33" s="77"/>
      <c r="J33" s="122" t="s">
        <v>122</v>
      </c>
      <c r="K33" s="97"/>
      <c r="L33" s="146">
        <f>(L30*L32)</f>
        <v>439714.28571428568</v>
      </c>
      <c r="M33" s="146">
        <f>(M30*M32)</f>
        <v>648290.59120879124</v>
      </c>
      <c r="N33" s="146">
        <f>(N30*N32)</f>
        <v>50000</v>
      </c>
      <c r="O33" s="77"/>
      <c r="P33" s="77"/>
      <c r="V33" s="1164">
        <v>1</v>
      </c>
      <c r="W33" s="197"/>
      <c r="X33" s="1164">
        <f>(V33*X32)</f>
        <v>112346.22575777958</v>
      </c>
    </row>
    <row r="34" spans="2:24">
      <c r="B34" s="122" t="s">
        <v>120</v>
      </c>
      <c r="C34" s="77"/>
      <c r="D34" s="151">
        <f>(D29*D32)</f>
        <v>523953.61478528718</v>
      </c>
      <c r="E34" s="151">
        <f>(E29*E32)</f>
        <v>366229.38938213442</v>
      </c>
      <c r="F34" s="151">
        <f>(F29*F32)</f>
        <v>189816.99583257837</v>
      </c>
      <c r="G34" s="77"/>
      <c r="H34" s="77"/>
      <c r="J34" s="122" t="s">
        <v>120</v>
      </c>
      <c r="K34" s="77"/>
      <c r="L34" s="151">
        <f>(L29*L32)</f>
        <v>456032.17158176948</v>
      </c>
      <c r="M34" s="151">
        <f>(M29*M32)</f>
        <v>443002.68096514751</v>
      </c>
      <c r="N34" s="151">
        <f>(N29*N32)</f>
        <v>180965.14745308313</v>
      </c>
      <c r="O34" s="77"/>
      <c r="P34" s="77"/>
      <c r="R34" t="s">
        <v>189</v>
      </c>
      <c r="S34" s="195">
        <f>(H46)</f>
        <v>2.4263992685230336E-2</v>
      </c>
      <c r="T34" s="193">
        <v>19.600000000000001</v>
      </c>
    </row>
    <row r="35" spans="2:24" ht="15.75" thickBot="1">
      <c r="B35" s="122"/>
      <c r="C35" s="151"/>
      <c r="D35" s="152">
        <f>SUM(D33:D34)</f>
        <v>897710.75764243002</v>
      </c>
      <c r="E35" s="152">
        <f>SUM(E33:E34)</f>
        <v>762724.76240411238</v>
      </c>
      <c r="F35" s="152">
        <f>SUM(F33:F34)</f>
        <v>228616.99583257837</v>
      </c>
      <c r="G35" s="144">
        <f>SUM(D35:F35)</f>
        <v>1889052.5158791207</v>
      </c>
      <c r="H35" s="77"/>
      <c r="J35" s="122"/>
      <c r="K35" s="151"/>
      <c r="L35" s="152">
        <f>SUM(L33:L34)</f>
        <v>895746.45729605516</v>
      </c>
      <c r="M35" s="152">
        <f>SUM(M33:M34)</f>
        <v>1091293.2721739388</v>
      </c>
      <c r="N35" s="152">
        <f>SUM(N33:N34)</f>
        <v>230965.14745308313</v>
      </c>
      <c r="O35" s="144">
        <f>SUM(L35:N35)</f>
        <v>2218004.8769230773</v>
      </c>
      <c r="P35" s="77"/>
      <c r="R35" t="s">
        <v>194</v>
      </c>
      <c r="S35" s="194">
        <f>((4*1.75)/2)*13</f>
        <v>45.5</v>
      </c>
    </row>
    <row r="36" spans="2:24" ht="15.75" thickTop="1">
      <c r="B36" s="122" t="s">
        <v>125</v>
      </c>
      <c r="C36" s="97"/>
      <c r="D36" s="153">
        <f>(D37-D35)/D35</f>
        <v>0.19303460594887217</v>
      </c>
      <c r="E36" s="153">
        <f>(E37-E35)/E35</f>
        <v>0.71759206541389275</v>
      </c>
      <c r="F36" s="153">
        <f>(F37-F35)/F35</f>
        <v>1.8296995602570802E-2</v>
      </c>
      <c r="G36" s="144">
        <f>(G37-G35)</f>
        <v>724797.48412087932</v>
      </c>
      <c r="H36" s="144">
        <f>(G36/12)</f>
        <v>60399.79034340661</v>
      </c>
      <c r="J36" s="122" t="s">
        <v>125</v>
      </c>
      <c r="K36" s="97"/>
      <c r="L36" s="153">
        <f>(L37-L35)/L35</f>
        <v>0.26598323751471914</v>
      </c>
      <c r="M36" s="153">
        <f>(M37-M35)/M35</f>
        <v>0.96280876517544534</v>
      </c>
      <c r="N36" s="153">
        <f>(N37-N35)/N35</f>
        <v>8.2414393499709707E-2</v>
      </c>
      <c r="O36" s="144">
        <f>(O37-O35)</f>
        <v>1307995.1230769227</v>
      </c>
      <c r="P36" s="144">
        <f>(O36/12)</f>
        <v>108999.59358974356</v>
      </c>
      <c r="R36" t="s">
        <v>191</v>
      </c>
      <c r="S36" s="194">
        <f>((6.3*2.3)/2)*27.7</f>
        <v>200.68649999999997</v>
      </c>
    </row>
    <row r="37" spans="2:24">
      <c r="D37" s="154">
        <f>(D38*D32)</f>
        <v>1071000</v>
      </c>
      <c r="E37" s="154">
        <f>(E38*E32)</f>
        <v>1310050</v>
      </c>
      <c r="F37" s="154">
        <f>(F38*F32)</f>
        <v>232800</v>
      </c>
      <c r="G37" s="144">
        <f>SUM(D37:F37)</f>
        <v>2613850</v>
      </c>
      <c r="H37" s="77"/>
      <c r="J37" s="97"/>
      <c r="K37" s="97"/>
      <c r="L37" s="154">
        <f>(L38*L32)</f>
        <v>1134000</v>
      </c>
      <c r="M37" s="154">
        <f>(M38*M32)</f>
        <v>2142000</v>
      </c>
      <c r="N37" s="154">
        <f>(N38*N32)</f>
        <v>250000</v>
      </c>
      <c r="O37" s="144">
        <f>SUM(L37:N37)</f>
        <v>3526000</v>
      </c>
      <c r="P37" s="77"/>
      <c r="R37" t="s">
        <v>190</v>
      </c>
      <c r="S37" s="194">
        <f>(PI()*(7.9^2)*1.9)/3</f>
        <v>124.17563842334135</v>
      </c>
    </row>
    <row r="38" spans="2:24">
      <c r="D38" s="155">
        <v>2</v>
      </c>
      <c r="E38" s="155">
        <v>3.5</v>
      </c>
      <c r="F38" s="156">
        <v>1.2</v>
      </c>
      <c r="G38" s="77"/>
      <c r="H38" s="77"/>
      <c r="J38" s="97"/>
      <c r="K38" s="97"/>
      <c r="L38" s="155">
        <v>1.8</v>
      </c>
      <c r="M38" s="155">
        <v>3.5</v>
      </c>
      <c r="N38" s="156">
        <v>1</v>
      </c>
      <c r="O38" s="77"/>
      <c r="P38" s="77"/>
      <c r="R38" s="197" t="s">
        <v>148</v>
      </c>
      <c r="S38" s="198">
        <f>SUM(S35:S37)</f>
        <v>370.36213842334132</v>
      </c>
      <c r="T38" s="199">
        <f>(S38*T34)/S34</f>
        <v>299171.61644695658</v>
      </c>
    </row>
    <row r="39" spans="2:24">
      <c r="D39" s="77"/>
      <c r="E39" s="77"/>
      <c r="F39" s="77"/>
      <c r="G39" s="77"/>
      <c r="H39" s="77"/>
      <c r="R39" s="1164">
        <v>0.5</v>
      </c>
      <c r="S39" s="197"/>
      <c r="T39" s="1164">
        <f>(R39*T38)</f>
        <v>149585.80822347829</v>
      </c>
    </row>
    <row r="43" spans="2:24">
      <c r="G43" s="157">
        <f>FLOOR((PI()*((0.3/2)^2)*0.35),0.001)</f>
        <v>2.4E-2</v>
      </c>
    </row>
    <row r="44" spans="2:24" ht="17.25">
      <c r="G44" t="s">
        <v>126</v>
      </c>
      <c r="H44" s="143" t="s">
        <v>127</v>
      </c>
    </row>
    <row r="45" spans="2:24">
      <c r="F45" s="158" t="s">
        <v>128</v>
      </c>
      <c r="G45" t="s">
        <v>129</v>
      </c>
      <c r="H45" s="157">
        <v>2.3890000000000002E-2</v>
      </c>
      <c r="K45" s="158" t="s">
        <v>130</v>
      </c>
      <c r="L45" s="159">
        <v>14</v>
      </c>
    </row>
    <row r="46" spans="2:24">
      <c r="F46" s="158" t="s">
        <v>131</v>
      </c>
      <c r="G46" t="s">
        <v>132</v>
      </c>
      <c r="H46" s="157">
        <f>PI()*((0.295/2)^2)*0.355</f>
        <v>2.4263992685230336E-2</v>
      </c>
      <c r="K46" s="158" t="s">
        <v>133</v>
      </c>
      <c r="L46" s="159">
        <v>6</v>
      </c>
    </row>
    <row r="47" spans="2:24">
      <c r="N47" t="s">
        <v>891</v>
      </c>
      <c r="O47" t="s">
        <v>895</v>
      </c>
    </row>
    <row r="48" spans="2:24" ht="15.75" thickBot="1">
      <c r="G48" s="160">
        <f>SUBTOTAL(9,G50:G55)</f>
        <v>36.823360000000001</v>
      </c>
      <c r="J48" s="161"/>
      <c r="M48" s="166"/>
      <c r="N48">
        <v>1</v>
      </c>
      <c r="O48" s="144">
        <v>350</v>
      </c>
    </row>
    <row r="49" spans="2:19" ht="30.75" thickBot="1">
      <c r="B49" s="162" t="s">
        <v>134</v>
      </c>
      <c r="C49" s="163" t="s">
        <v>57</v>
      </c>
      <c r="D49" s="164" t="s">
        <v>135</v>
      </c>
      <c r="E49" s="164" t="s">
        <v>136</v>
      </c>
      <c r="F49" s="164" t="s">
        <v>137</v>
      </c>
      <c r="G49" s="164" t="s">
        <v>127</v>
      </c>
      <c r="H49" s="164" t="s">
        <v>138</v>
      </c>
      <c r="I49" s="164" t="s">
        <v>139</v>
      </c>
      <c r="J49" s="164" t="s">
        <v>140</v>
      </c>
      <c r="K49" s="164" t="s">
        <v>141</v>
      </c>
      <c r="L49" s="165" t="s">
        <v>142</v>
      </c>
      <c r="M49" s="1280" t="s">
        <v>892</v>
      </c>
      <c r="N49" s="1132" t="s">
        <v>893</v>
      </c>
      <c r="O49" s="1132" t="s">
        <v>894</v>
      </c>
    </row>
    <row r="50" spans="2:19">
      <c r="B50" s="167">
        <v>1</v>
      </c>
      <c r="C50" s="83"/>
      <c r="D50" s="1157">
        <v>0</v>
      </c>
      <c r="E50" s="1157">
        <v>0</v>
      </c>
      <c r="F50" s="1157">
        <v>0</v>
      </c>
      <c r="G50" s="1176">
        <f t="shared" ref="G50:G65" si="2">((D50*E50)/2)*F50</f>
        <v>0</v>
      </c>
      <c r="H50" s="168">
        <v>18.2</v>
      </c>
      <c r="I50" s="169">
        <f>(H50/H45)/1000</f>
        <v>0.76182503139388857</v>
      </c>
      <c r="J50" s="170">
        <f t="shared" ref="J50:J63" si="3">(G50*I50)</f>
        <v>0</v>
      </c>
      <c r="K50" s="171">
        <f>(G50/$L$45)</f>
        <v>0</v>
      </c>
      <c r="L50" s="171">
        <f>(G50/$L$46)</f>
        <v>0</v>
      </c>
      <c r="N50" s="1281"/>
      <c r="O50" s="1282"/>
    </row>
    <row r="51" spans="2:19">
      <c r="B51" s="167">
        <v>2</v>
      </c>
      <c r="C51" s="83"/>
      <c r="D51" s="1157">
        <v>0</v>
      </c>
      <c r="E51" s="1157">
        <v>0</v>
      </c>
      <c r="F51" s="1157">
        <v>0</v>
      </c>
      <c r="G51" s="1176">
        <f t="shared" si="2"/>
        <v>0</v>
      </c>
      <c r="H51" s="168">
        <v>18.2</v>
      </c>
      <c r="I51" s="169">
        <f>(H51/H45)/1000</f>
        <v>0.76182503139388857</v>
      </c>
      <c r="J51" s="170">
        <f t="shared" si="3"/>
        <v>0</v>
      </c>
      <c r="K51" s="171">
        <f t="shared" ref="K51:K66" si="4">(G51/$L$45)</f>
        <v>0</v>
      </c>
      <c r="L51" s="171">
        <f t="shared" ref="L51:L66" si="5">(G51/$L$46)</f>
        <v>0</v>
      </c>
      <c r="N51" s="1281"/>
      <c r="O51" s="1282"/>
    </row>
    <row r="52" spans="2:19">
      <c r="B52" s="167">
        <v>3</v>
      </c>
      <c r="C52" s="83"/>
      <c r="D52" s="1157">
        <v>5.6</v>
      </c>
      <c r="E52" s="1157">
        <v>0.17</v>
      </c>
      <c r="F52" s="1157">
        <v>19.34</v>
      </c>
      <c r="G52" s="1176">
        <f t="shared" si="2"/>
        <v>9.2058400000000002</v>
      </c>
      <c r="H52" s="168">
        <v>18.2</v>
      </c>
      <c r="I52" s="169">
        <f>(H52/H45)/1000</f>
        <v>0.76182503139388857</v>
      </c>
      <c r="J52" s="170">
        <f t="shared" si="3"/>
        <v>7.013239347007115</v>
      </c>
      <c r="K52" s="171">
        <f t="shared" si="4"/>
        <v>0.65756000000000003</v>
      </c>
      <c r="L52" s="171">
        <f t="shared" si="5"/>
        <v>1.5343066666666667</v>
      </c>
      <c r="M52" s="1279">
        <f t="shared" ref="M52:M65" si="6">(D52*F52)</f>
        <v>108.30399999999999</v>
      </c>
      <c r="N52" s="1281">
        <f>(M52*$N$48)</f>
        <v>108.30399999999999</v>
      </c>
      <c r="O52" s="1282">
        <f>(N52*$O$48)</f>
        <v>37906.399999999994</v>
      </c>
    </row>
    <row r="53" spans="2:19">
      <c r="B53" s="167">
        <v>4</v>
      </c>
      <c r="C53" s="83"/>
      <c r="D53" s="1157">
        <v>5.6</v>
      </c>
      <c r="E53" s="1157">
        <v>0.17</v>
      </c>
      <c r="F53" s="1157">
        <v>19.34</v>
      </c>
      <c r="G53" s="1176">
        <f t="shared" si="2"/>
        <v>9.2058400000000002</v>
      </c>
      <c r="H53" s="168">
        <v>18.2</v>
      </c>
      <c r="I53" s="169">
        <f>(H53/H45)/1000</f>
        <v>0.76182503139388857</v>
      </c>
      <c r="J53" s="170">
        <f t="shared" si="3"/>
        <v>7.013239347007115</v>
      </c>
      <c r="K53" s="171">
        <f t="shared" si="4"/>
        <v>0.65756000000000003</v>
      </c>
      <c r="L53" s="171">
        <f t="shared" si="5"/>
        <v>1.5343066666666667</v>
      </c>
      <c r="M53" s="1279">
        <f t="shared" si="6"/>
        <v>108.30399999999999</v>
      </c>
      <c r="N53" s="1281">
        <f t="shared" ref="N53:N65" si="7">(M53*$N$48)</f>
        <v>108.30399999999999</v>
      </c>
      <c r="O53" s="1282">
        <f t="shared" ref="O53:O65" si="8">(N53*$O$48)</f>
        <v>37906.399999999994</v>
      </c>
    </row>
    <row r="54" spans="2:19">
      <c r="B54" s="167">
        <v>5</v>
      </c>
      <c r="C54" s="83"/>
      <c r="D54" s="1157">
        <v>5.6</v>
      </c>
      <c r="E54" s="1157">
        <v>0.17</v>
      </c>
      <c r="F54" s="1157">
        <v>19.34</v>
      </c>
      <c r="G54" s="1176">
        <f t="shared" si="2"/>
        <v>9.2058400000000002</v>
      </c>
      <c r="H54" s="168">
        <v>18.2</v>
      </c>
      <c r="I54" s="169">
        <f>(H54/H45)/1000</f>
        <v>0.76182503139388857</v>
      </c>
      <c r="J54" s="170">
        <f t="shared" si="3"/>
        <v>7.013239347007115</v>
      </c>
      <c r="K54" s="172">
        <f t="shared" si="4"/>
        <v>0.65756000000000003</v>
      </c>
      <c r="L54" s="172">
        <f>(G54/$L$46)</f>
        <v>1.5343066666666667</v>
      </c>
      <c r="M54" s="1279">
        <f t="shared" si="6"/>
        <v>108.30399999999999</v>
      </c>
      <c r="N54" s="1281">
        <f t="shared" si="7"/>
        <v>108.30399999999999</v>
      </c>
      <c r="O54" s="1282">
        <f t="shared" si="8"/>
        <v>37906.399999999994</v>
      </c>
    </row>
    <row r="55" spans="2:19">
      <c r="B55" s="167">
        <v>6</v>
      </c>
      <c r="C55" s="83"/>
      <c r="D55" s="1157">
        <v>5.6</v>
      </c>
      <c r="E55" s="1157">
        <v>0.17</v>
      </c>
      <c r="F55" s="1157">
        <v>19.34</v>
      </c>
      <c r="G55" s="1176">
        <f t="shared" si="2"/>
        <v>9.2058400000000002</v>
      </c>
      <c r="H55" s="168">
        <v>18.2</v>
      </c>
      <c r="I55" s="169">
        <f>(H55/H45)/1000</f>
        <v>0.76182503139388857</v>
      </c>
      <c r="J55" s="170">
        <f t="shared" si="3"/>
        <v>7.013239347007115</v>
      </c>
      <c r="K55" s="171">
        <f t="shared" si="4"/>
        <v>0.65756000000000003</v>
      </c>
      <c r="L55" s="171">
        <f t="shared" si="5"/>
        <v>1.5343066666666667</v>
      </c>
      <c r="M55" s="1279">
        <f t="shared" si="6"/>
        <v>108.30399999999999</v>
      </c>
      <c r="N55" s="1281">
        <f t="shared" si="7"/>
        <v>108.30399999999999</v>
      </c>
      <c r="O55" s="1282">
        <f t="shared" si="8"/>
        <v>37906.399999999994</v>
      </c>
    </row>
    <row r="56" spans="2:19">
      <c r="B56" s="167">
        <v>7</v>
      </c>
      <c r="C56" s="83"/>
      <c r="D56" s="1157">
        <v>5.6</v>
      </c>
      <c r="E56" s="1157">
        <v>0.17</v>
      </c>
      <c r="F56" s="1157">
        <v>19.34</v>
      </c>
      <c r="G56" s="1176">
        <f t="shared" si="2"/>
        <v>9.2058400000000002</v>
      </c>
      <c r="H56" s="168">
        <v>18.2</v>
      </c>
      <c r="I56" s="169">
        <f>(H56/H45)/1000</f>
        <v>0.76182503139388857</v>
      </c>
      <c r="J56" s="170">
        <f t="shared" si="3"/>
        <v>7.013239347007115</v>
      </c>
      <c r="K56" s="171">
        <f t="shared" si="4"/>
        <v>0.65756000000000003</v>
      </c>
      <c r="L56" s="171">
        <f t="shared" si="5"/>
        <v>1.5343066666666667</v>
      </c>
      <c r="M56" s="1279">
        <f t="shared" si="6"/>
        <v>108.30399999999999</v>
      </c>
      <c r="N56" s="1281">
        <f t="shared" si="7"/>
        <v>108.30399999999999</v>
      </c>
      <c r="O56" s="1282">
        <f t="shared" si="8"/>
        <v>37906.399999999994</v>
      </c>
      <c r="P56" t="s">
        <v>853</v>
      </c>
      <c r="Q56">
        <v>17.55</v>
      </c>
      <c r="R56">
        <v>2.5000000000000001E-2</v>
      </c>
      <c r="S56" t="s">
        <v>854</v>
      </c>
    </row>
    <row r="57" spans="2:19">
      <c r="B57" s="167">
        <v>8</v>
      </c>
      <c r="C57" s="83"/>
      <c r="D57" s="1157">
        <v>5.6</v>
      </c>
      <c r="E57" s="1157">
        <v>0.17</v>
      </c>
      <c r="F57" s="1157">
        <v>19.34</v>
      </c>
      <c r="G57" s="1176">
        <f t="shared" si="2"/>
        <v>9.2058400000000002</v>
      </c>
      <c r="H57" s="168">
        <v>18.2</v>
      </c>
      <c r="I57" s="169">
        <f>(H57/H45)/1000</f>
        <v>0.76182503139388857</v>
      </c>
      <c r="J57" s="170">
        <f t="shared" si="3"/>
        <v>7.013239347007115</v>
      </c>
      <c r="K57" s="171">
        <f t="shared" si="4"/>
        <v>0.65756000000000003</v>
      </c>
      <c r="L57" s="171">
        <f t="shared" si="5"/>
        <v>1.5343066666666667</v>
      </c>
      <c r="M57" s="1279">
        <f t="shared" si="6"/>
        <v>108.30399999999999</v>
      </c>
      <c r="N57" s="1281">
        <f t="shared" si="7"/>
        <v>108.30399999999999</v>
      </c>
      <c r="O57" s="1282">
        <f t="shared" si="8"/>
        <v>37906.399999999994</v>
      </c>
      <c r="P57" t="s">
        <v>855</v>
      </c>
      <c r="Q57">
        <v>107.6</v>
      </c>
      <c r="R57">
        <f>(Q57*R56)/Q56</f>
        <v>0.15327635327635328</v>
      </c>
      <c r="S57" t="s">
        <v>854</v>
      </c>
    </row>
    <row r="58" spans="2:19">
      <c r="B58" s="167">
        <v>9</v>
      </c>
      <c r="C58" s="83"/>
      <c r="D58" s="1157">
        <v>5.6</v>
      </c>
      <c r="E58" s="1157">
        <v>0.17</v>
      </c>
      <c r="F58" s="1157">
        <v>19.34</v>
      </c>
      <c r="G58" s="1176">
        <f t="shared" si="2"/>
        <v>9.2058400000000002</v>
      </c>
      <c r="H58" s="168">
        <v>18.2</v>
      </c>
      <c r="I58" s="169">
        <f>(H58/H45)/1000</f>
        <v>0.76182503139388857</v>
      </c>
      <c r="J58" s="170">
        <f t="shared" si="3"/>
        <v>7.013239347007115</v>
      </c>
      <c r="K58" s="171">
        <f t="shared" si="4"/>
        <v>0.65756000000000003</v>
      </c>
      <c r="L58" s="171">
        <f t="shared" si="5"/>
        <v>1.5343066666666667</v>
      </c>
      <c r="M58" s="1279">
        <f t="shared" si="6"/>
        <v>108.30399999999999</v>
      </c>
      <c r="N58" s="1281">
        <f t="shared" si="7"/>
        <v>108.30399999999999</v>
      </c>
      <c r="O58" s="1282">
        <f t="shared" si="8"/>
        <v>37906.399999999994</v>
      </c>
    </row>
    <row r="59" spans="2:19">
      <c r="B59" s="167">
        <v>10</v>
      </c>
      <c r="C59" s="83"/>
      <c r="D59" s="1157">
        <v>5.6</v>
      </c>
      <c r="E59" s="1157">
        <v>0.17</v>
      </c>
      <c r="F59" s="1157">
        <v>19.34</v>
      </c>
      <c r="G59" s="1176">
        <f t="shared" si="2"/>
        <v>9.2058400000000002</v>
      </c>
      <c r="H59" s="168">
        <v>18.2</v>
      </c>
      <c r="I59" s="169">
        <f>(H59/H45)/1000</f>
        <v>0.76182503139388857</v>
      </c>
      <c r="J59" s="170">
        <f t="shared" si="3"/>
        <v>7.013239347007115</v>
      </c>
      <c r="K59" s="171">
        <f t="shared" si="4"/>
        <v>0.65756000000000003</v>
      </c>
      <c r="L59" s="171">
        <f t="shared" si="5"/>
        <v>1.5343066666666667</v>
      </c>
      <c r="M59" s="1279">
        <f t="shared" si="6"/>
        <v>108.30399999999999</v>
      </c>
      <c r="N59" s="1281">
        <f t="shared" si="7"/>
        <v>108.30399999999999</v>
      </c>
      <c r="O59" s="1282">
        <f t="shared" si="8"/>
        <v>37906.399999999994</v>
      </c>
    </row>
    <row r="60" spans="2:19">
      <c r="B60" s="167">
        <v>11</v>
      </c>
      <c r="C60" s="83"/>
      <c r="D60" s="1157">
        <v>5.6</v>
      </c>
      <c r="E60" s="1157">
        <v>0.17</v>
      </c>
      <c r="F60" s="1157">
        <v>19.34</v>
      </c>
      <c r="G60" s="1176">
        <f t="shared" si="2"/>
        <v>9.2058400000000002</v>
      </c>
      <c r="H60" s="168">
        <v>18.2</v>
      </c>
      <c r="I60" s="169">
        <f>(H60/H45)/1000</f>
        <v>0.76182503139388857</v>
      </c>
      <c r="J60" s="170">
        <f t="shared" si="3"/>
        <v>7.013239347007115</v>
      </c>
      <c r="K60" s="171">
        <f t="shared" si="4"/>
        <v>0.65756000000000003</v>
      </c>
      <c r="L60" s="171">
        <f t="shared" si="5"/>
        <v>1.5343066666666667</v>
      </c>
      <c r="M60" s="1279">
        <f t="shared" si="6"/>
        <v>108.30399999999999</v>
      </c>
      <c r="N60" s="1281">
        <f t="shared" si="7"/>
        <v>108.30399999999999</v>
      </c>
      <c r="O60" s="1282">
        <f t="shared" si="8"/>
        <v>37906.399999999994</v>
      </c>
    </row>
    <row r="61" spans="2:19">
      <c r="B61" s="167">
        <v>12</v>
      </c>
      <c r="C61" s="83"/>
      <c r="D61" s="1157">
        <v>5.6</v>
      </c>
      <c r="E61" s="1157">
        <v>0.17</v>
      </c>
      <c r="F61" s="1157">
        <v>19.34</v>
      </c>
      <c r="G61" s="1176">
        <f t="shared" si="2"/>
        <v>9.2058400000000002</v>
      </c>
      <c r="H61" s="168">
        <v>18.2</v>
      </c>
      <c r="I61" s="169">
        <f>(H61/H45)/1000</f>
        <v>0.76182503139388857</v>
      </c>
      <c r="J61" s="170">
        <f t="shared" si="3"/>
        <v>7.013239347007115</v>
      </c>
      <c r="K61" s="171">
        <f t="shared" si="4"/>
        <v>0.65756000000000003</v>
      </c>
      <c r="L61" s="171">
        <f t="shared" si="5"/>
        <v>1.5343066666666667</v>
      </c>
      <c r="M61" s="1279">
        <f t="shared" si="6"/>
        <v>108.30399999999999</v>
      </c>
      <c r="N61" s="1281">
        <f t="shared" si="7"/>
        <v>108.30399999999999</v>
      </c>
      <c r="O61" s="1282">
        <f t="shared" si="8"/>
        <v>37906.399999999994</v>
      </c>
    </row>
    <row r="62" spans="2:19">
      <c r="B62" s="167">
        <v>13</v>
      </c>
      <c r="C62" s="83"/>
      <c r="D62" s="1157">
        <v>5.6</v>
      </c>
      <c r="E62" s="1157">
        <v>0.17</v>
      </c>
      <c r="F62" s="1157">
        <v>19.34</v>
      </c>
      <c r="G62" s="1176">
        <f t="shared" si="2"/>
        <v>9.2058400000000002</v>
      </c>
      <c r="H62" s="168">
        <v>18.2</v>
      </c>
      <c r="I62" s="169">
        <f>(H62/H45)/1000</f>
        <v>0.76182503139388857</v>
      </c>
      <c r="J62" s="170">
        <f t="shared" si="3"/>
        <v>7.013239347007115</v>
      </c>
      <c r="K62" s="171">
        <f t="shared" si="4"/>
        <v>0.65756000000000003</v>
      </c>
      <c r="L62" s="171">
        <f t="shared" si="5"/>
        <v>1.5343066666666667</v>
      </c>
      <c r="M62" s="1279">
        <f t="shared" si="6"/>
        <v>108.30399999999999</v>
      </c>
      <c r="N62" s="1281">
        <f t="shared" si="7"/>
        <v>108.30399999999999</v>
      </c>
      <c r="O62" s="1282">
        <f t="shared" si="8"/>
        <v>37906.399999999994</v>
      </c>
    </row>
    <row r="63" spans="2:19">
      <c r="B63" s="167">
        <v>14</v>
      </c>
      <c r="C63" s="83"/>
      <c r="D63" s="1157">
        <v>5.6</v>
      </c>
      <c r="E63" s="1157">
        <v>0.17</v>
      </c>
      <c r="F63" s="1157">
        <v>19.34</v>
      </c>
      <c r="G63" s="1176">
        <f t="shared" si="2"/>
        <v>9.2058400000000002</v>
      </c>
      <c r="H63" s="168">
        <v>18.2</v>
      </c>
      <c r="I63" s="169">
        <f>(H63/H45)/1000</f>
        <v>0.76182503139388857</v>
      </c>
      <c r="J63" s="170">
        <f t="shared" si="3"/>
        <v>7.013239347007115</v>
      </c>
      <c r="K63" s="171">
        <f t="shared" si="4"/>
        <v>0.65756000000000003</v>
      </c>
      <c r="L63" s="171">
        <f t="shared" si="5"/>
        <v>1.5343066666666667</v>
      </c>
      <c r="M63" s="1279">
        <f t="shared" si="6"/>
        <v>108.30399999999999</v>
      </c>
      <c r="N63" s="1281">
        <f t="shared" si="7"/>
        <v>108.30399999999999</v>
      </c>
      <c r="O63" s="1282">
        <f t="shared" si="8"/>
        <v>37906.399999999994</v>
      </c>
    </row>
    <row r="64" spans="2:19">
      <c r="B64" s="167">
        <v>15</v>
      </c>
      <c r="C64" s="83"/>
      <c r="D64" s="1157">
        <v>5.6</v>
      </c>
      <c r="E64" s="1157">
        <v>0.17</v>
      </c>
      <c r="F64" s="1157">
        <v>19.34</v>
      </c>
      <c r="G64" s="1176">
        <f>((D64*E64)/2)*F64</f>
        <v>9.2058400000000002</v>
      </c>
      <c r="H64" s="168">
        <v>18.2</v>
      </c>
      <c r="I64" s="169">
        <f>(H64/H45)/1000</f>
        <v>0.76182503139388857</v>
      </c>
      <c r="J64" s="170">
        <f>(G64*I64)</f>
        <v>7.013239347007115</v>
      </c>
      <c r="K64" s="171">
        <f t="shared" si="4"/>
        <v>0.65756000000000003</v>
      </c>
      <c r="L64" s="171">
        <f t="shared" si="5"/>
        <v>1.5343066666666667</v>
      </c>
      <c r="M64" s="1279">
        <f t="shared" si="6"/>
        <v>108.30399999999999</v>
      </c>
      <c r="N64" s="1281">
        <f t="shared" si="7"/>
        <v>108.30399999999999</v>
      </c>
      <c r="O64" s="1282">
        <f t="shared" si="8"/>
        <v>37906.399999999994</v>
      </c>
    </row>
    <row r="65" spans="2:18">
      <c r="B65" s="167">
        <v>16</v>
      </c>
      <c r="C65" s="83"/>
      <c r="D65" s="1157">
        <v>5.6</v>
      </c>
      <c r="E65" s="1157">
        <v>0.17</v>
      </c>
      <c r="F65" s="1157">
        <v>19.34</v>
      </c>
      <c r="G65" s="1176">
        <f t="shared" si="2"/>
        <v>9.2058400000000002</v>
      </c>
      <c r="H65" s="168">
        <v>18.2</v>
      </c>
      <c r="I65" s="169">
        <f>(H65/H45)/1000</f>
        <v>0.76182503139388857</v>
      </c>
      <c r="J65" s="170">
        <f>(G65*I65)</f>
        <v>7.013239347007115</v>
      </c>
      <c r="K65" s="171">
        <f t="shared" si="4"/>
        <v>0.65756000000000003</v>
      </c>
      <c r="L65" s="171">
        <f t="shared" si="5"/>
        <v>1.5343066666666667</v>
      </c>
      <c r="M65" s="1279">
        <f t="shared" si="6"/>
        <v>108.30399999999999</v>
      </c>
      <c r="N65" s="1281">
        <f t="shared" si="7"/>
        <v>108.30399999999999</v>
      </c>
      <c r="O65" s="1285">
        <f t="shared" si="8"/>
        <v>37906.399999999994</v>
      </c>
    </row>
    <row r="66" spans="2:18">
      <c r="G66" s="1177">
        <f>SUM(G50:G65)</f>
        <v>128.88175999999999</v>
      </c>
      <c r="H66" s="1178"/>
      <c r="I66" s="1178"/>
      <c r="J66" s="1179">
        <f>SUM(J50:J65)</f>
        <v>98.185350858099611</v>
      </c>
      <c r="K66" s="1180">
        <f t="shared" si="4"/>
        <v>9.2058399999999985</v>
      </c>
      <c r="L66" s="1180">
        <f t="shared" si="5"/>
        <v>21.480293333333332</v>
      </c>
      <c r="M66" s="1283">
        <f>SUM(M52:M65)</f>
        <v>1516.2560000000003</v>
      </c>
      <c r="N66" s="1281">
        <f>(M66*$N$48)</f>
        <v>1516.2560000000003</v>
      </c>
      <c r="O66" s="1284">
        <f>SUM(O50:O65)</f>
        <v>530689.60000000009</v>
      </c>
    </row>
    <row r="68" spans="2:18">
      <c r="D68" s="1757" t="s">
        <v>144</v>
      </c>
      <c r="E68" s="1757"/>
      <c r="F68" s="1757"/>
      <c r="G68" s="1757"/>
      <c r="H68" s="1757" t="s">
        <v>856</v>
      </c>
      <c r="I68" s="1757"/>
      <c r="J68" s="1166">
        <v>1</v>
      </c>
      <c r="K68" s="173">
        <v>0.1532</v>
      </c>
      <c r="L68" s="1757" t="s">
        <v>145</v>
      </c>
      <c r="M68" s="1757"/>
      <c r="N68" s="1166">
        <v>1</v>
      </c>
      <c r="O68" s="174">
        <v>107.6</v>
      </c>
    </row>
    <row r="69" spans="2:18">
      <c r="B69" s="175" t="s">
        <v>146</v>
      </c>
      <c r="D69" s="176" t="s">
        <v>147</v>
      </c>
      <c r="E69" s="143" t="s">
        <v>148</v>
      </c>
      <c r="F69" s="143" t="s">
        <v>149</v>
      </c>
      <c r="G69" s="143" t="s">
        <v>150</v>
      </c>
      <c r="H69" s="176" t="s">
        <v>147</v>
      </c>
      <c r="I69" s="143" t="s">
        <v>148</v>
      </c>
      <c r="J69" s="143" t="s">
        <v>149</v>
      </c>
      <c r="K69" s="143" t="s">
        <v>150</v>
      </c>
      <c r="L69" s="176" t="s">
        <v>147</v>
      </c>
      <c r="M69" s="143" t="s">
        <v>148</v>
      </c>
      <c r="N69" s="143" t="s">
        <v>149</v>
      </c>
      <c r="O69" s="143" t="s">
        <v>150</v>
      </c>
    </row>
    <row r="70" spans="2:18">
      <c r="B70" t="s">
        <v>151</v>
      </c>
      <c r="D70" s="145"/>
      <c r="E70" s="145">
        <v>1</v>
      </c>
      <c r="F70" s="145"/>
      <c r="H70" s="145"/>
      <c r="I70" s="145"/>
      <c r="L70" s="145"/>
      <c r="M70" s="145"/>
    </row>
    <row r="71" spans="2:18">
      <c r="B71" s="167">
        <v>1</v>
      </c>
      <c r="C71" s="177">
        <f t="shared" ref="C71:C86" si="9">(G50)</f>
        <v>0</v>
      </c>
      <c r="D71" s="173"/>
      <c r="E71" s="173">
        <f t="shared" ref="E71:E86" si="10">(C71*$E$70)</f>
        <v>0</v>
      </c>
      <c r="F71" s="173">
        <f t="shared" ref="F71:F86" si="11">(C71*$F$70)</f>
        <v>0</v>
      </c>
      <c r="H71" s="178"/>
      <c r="I71" s="178">
        <f>(E71/$K$109)</f>
        <v>0</v>
      </c>
      <c r="J71" s="178"/>
      <c r="K71" s="178"/>
      <c r="L71" s="174"/>
      <c r="M71" s="179">
        <f t="shared" ref="M71:M86" si="12">(I71*$O$68)*3</f>
        <v>0</v>
      </c>
      <c r="N71" s="173">
        <f>(F71)</f>
        <v>0</v>
      </c>
      <c r="O71" s="174"/>
      <c r="P71" t="s">
        <v>152</v>
      </c>
      <c r="Q71" t="s">
        <v>153</v>
      </c>
      <c r="R71" s="180">
        <v>335</v>
      </c>
    </row>
    <row r="72" spans="2:18">
      <c r="B72" s="167">
        <v>2</v>
      </c>
      <c r="C72" s="177">
        <f t="shared" si="9"/>
        <v>0</v>
      </c>
      <c r="D72" s="173"/>
      <c r="E72" s="173">
        <f t="shared" si="10"/>
        <v>0</v>
      </c>
      <c r="F72" s="173">
        <f t="shared" si="11"/>
        <v>0</v>
      </c>
      <c r="H72" s="178"/>
      <c r="I72" s="178">
        <f t="shared" ref="I72:I86" si="13">(E72/$K$109)</f>
        <v>0</v>
      </c>
      <c r="L72" s="174"/>
      <c r="M72" s="179">
        <f t="shared" si="12"/>
        <v>0</v>
      </c>
      <c r="N72" s="173">
        <f t="shared" ref="N72:N86" si="14">(F72)</f>
        <v>0</v>
      </c>
      <c r="Q72" t="s">
        <v>154</v>
      </c>
    </row>
    <row r="73" spans="2:18">
      <c r="B73" s="167">
        <v>3</v>
      </c>
      <c r="C73" s="177">
        <f t="shared" si="9"/>
        <v>9.2058400000000002</v>
      </c>
      <c r="D73" s="173"/>
      <c r="E73" s="173">
        <f t="shared" si="10"/>
        <v>9.2058400000000002</v>
      </c>
      <c r="F73" s="173">
        <f t="shared" si="11"/>
        <v>0</v>
      </c>
      <c r="H73" s="178"/>
      <c r="I73" s="178">
        <f>(E73/$K$109)</f>
        <v>23.014599999999998</v>
      </c>
      <c r="L73" s="174"/>
      <c r="M73" s="179">
        <f>(I73*$O$68)*3</f>
        <v>7429.1128799999988</v>
      </c>
      <c r="N73" s="173">
        <f t="shared" si="14"/>
        <v>0</v>
      </c>
    </row>
    <row r="74" spans="2:18">
      <c r="B74" s="167">
        <v>4</v>
      </c>
      <c r="C74" s="177">
        <f t="shared" si="9"/>
        <v>9.2058400000000002</v>
      </c>
      <c r="D74" s="173"/>
      <c r="E74" s="173">
        <f t="shared" si="10"/>
        <v>9.2058400000000002</v>
      </c>
      <c r="F74" s="173">
        <f t="shared" si="11"/>
        <v>0</v>
      </c>
      <c r="H74" s="178"/>
      <c r="I74" s="178">
        <f t="shared" si="13"/>
        <v>23.014599999999998</v>
      </c>
      <c r="L74" s="174"/>
      <c r="M74" s="179">
        <f t="shared" si="12"/>
        <v>7429.1128799999988</v>
      </c>
      <c r="N74" s="173">
        <f t="shared" si="14"/>
        <v>0</v>
      </c>
    </row>
    <row r="75" spans="2:18">
      <c r="B75" s="167">
        <v>5</v>
      </c>
      <c r="C75" s="177">
        <f t="shared" si="9"/>
        <v>9.2058400000000002</v>
      </c>
      <c r="D75" s="173"/>
      <c r="E75" s="173">
        <f t="shared" si="10"/>
        <v>9.2058400000000002</v>
      </c>
      <c r="F75" s="173">
        <f t="shared" si="11"/>
        <v>0</v>
      </c>
      <c r="H75" s="178"/>
      <c r="I75" s="178">
        <f t="shared" si="13"/>
        <v>23.014599999999998</v>
      </c>
      <c r="L75" s="174"/>
      <c r="M75" s="179">
        <f t="shared" si="12"/>
        <v>7429.1128799999988</v>
      </c>
      <c r="N75" s="173">
        <f t="shared" si="14"/>
        <v>0</v>
      </c>
    </row>
    <row r="76" spans="2:18">
      <c r="B76" s="167">
        <v>6</v>
      </c>
      <c r="C76" s="177">
        <f t="shared" si="9"/>
        <v>9.2058400000000002</v>
      </c>
      <c r="D76" s="173"/>
      <c r="E76" s="173">
        <f t="shared" si="10"/>
        <v>9.2058400000000002</v>
      </c>
      <c r="F76" s="173">
        <f t="shared" si="11"/>
        <v>0</v>
      </c>
      <c r="H76" s="178"/>
      <c r="I76" s="178">
        <f t="shared" si="13"/>
        <v>23.014599999999998</v>
      </c>
      <c r="L76" s="174"/>
      <c r="M76" s="179">
        <f t="shared" si="12"/>
        <v>7429.1128799999988</v>
      </c>
      <c r="N76" s="173">
        <f t="shared" si="14"/>
        <v>0</v>
      </c>
    </row>
    <row r="77" spans="2:18">
      <c r="B77" s="167">
        <v>7</v>
      </c>
      <c r="C77" s="177">
        <f t="shared" si="9"/>
        <v>9.2058400000000002</v>
      </c>
      <c r="D77" s="173"/>
      <c r="E77" s="173">
        <f t="shared" si="10"/>
        <v>9.2058400000000002</v>
      </c>
      <c r="F77" s="173">
        <f t="shared" si="11"/>
        <v>0</v>
      </c>
      <c r="H77" s="178"/>
      <c r="I77" s="178">
        <f t="shared" si="13"/>
        <v>23.014599999999998</v>
      </c>
      <c r="L77" s="174"/>
      <c r="M77" s="179">
        <f t="shared" si="12"/>
        <v>7429.1128799999988</v>
      </c>
      <c r="N77" s="173">
        <f t="shared" si="14"/>
        <v>0</v>
      </c>
    </row>
    <row r="78" spans="2:18">
      <c r="B78" s="167">
        <v>8</v>
      </c>
      <c r="C78" s="177">
        <f t="shared" si="9"/>
        <v>9.2058400000000002</v>
      </c>
      <c r="D78" s="173"/>
      <c r="E78" s="173">
        <f t="shared" si="10"/>
        <v>9.2058400000000002</v>
      </c>
      <c r="F78" s="173">
        <f t="shared" si="11"/>
        <v>0</v>
      </c>
      <c r="H78" s="178"/>
      <c r="I78" s="178">
        <f t="shared" si="13"/>
        <v>23.014599999999998</v>
      </c>
      <c r="L78" s="174"/>
      <c r="M78" s="179">
        <f t="shared" si="12"/>
        <v>7429.1128799999988</v>
      </c>
      <c r="N78" s="173">
        <f t="shared" si="14"/>
        <v>0</v>
      </c>
    </row>
    <row r="79" spans="2:18">
      <c r="B79" s="167">
        <v>9</v>
      </c>
      <c r="C79" s="177">
        <f t="shared" si="9"/>
        <v>9.2058400000000002</v>
      </c>
      <c r="D79" s="173"/>
      <c r="E79" s="173">
        <f t="shared" si="10"/>
        <v>9.2058400000000002</v>
      </c>
      <c r="F79" s="173">
        <f t="shared" si="11"/>
        <v>0</v>
      </c>
      <c r="H79" s="178"/>
      <c r="I79" s="178">
        <f t="shared" si="13"/>
        <v>23.014599999999998</v>
      </c>
      <c r="L79" s="174"/>
      <c r="M79" s="179">
        <f t="shared" si="12"/>
        <v>7429.1128799999988</v>
      </c>
      <c r="N79" s="173">
        <f t="shared" si="14"/>
        <v>0</v>
      </c>
    </row>
    <row r="80" spans="2:18">
      <c r="B80" s="167">
        <v>10</v>
      </c>
      <c r="C80" s="177">
        <f t="shared" si="9"/>
        <v>9.2058400000000002</v>
      </c>
      <c r="D80" s="173"/>
      <c r="E80" s="173">
        <f t="shared" si="10"/>
        <v>9.2058400000000002</v>
      </c>
      <c r="F80" s="173">
        <f t="shared" si="11"/>
        <v>0</v>
      </c>
      <c r="H80" s="178"/>
      <c r="I80" s="178">
        <f t="shared" si="13"/>
        <v>23.014599999999998</v>
      </c>
      <c r="L80" s="174"/>
      <c r="M80" s="179">
        <f t="shared" si="12"/>
        <v>7429.1128799999988</v>
      </c>
      <c r="N80" s="173">
        <f t="shared" si="14"/>
        <v>0</v>
      </c>
    </row>
    <row r="81" spans="2:20">
      <c r="B81" s="167">
        <v>11</v>
      </c>
      <c r="C81" s="177">
        <f t="shared" si="9"/>
        <v>9.2058400000000002</v>
      </c>
      <c r="D81" s="173"/>
      <c r="E81" s="173">
        <f t="shared" si="10"/>
        <v>9.2058400000000002</v>
      </c>
      <c r="F81" s="173">
        <f t="shared" si="11"/>
        <v>0</v>
      </c>
      <c r="H81" s="178"/>
      <c r="I81" s="178">
        <f t="shared" si="13"/>
        <v>23.014599999999998</v>
      </c>
      <c r="L81" s="174"/>
      <c r="M81" s="179">
        <f t="shared" si="12"/>
        <v>7429.1128799999988</v>
      </c>
      <c r="N81" s="173">
        <f t="shared" si="14"/>
        <v>0</v>
      </c>
    </row>
    <row r="82" spans="2:20">
      <c r="B82" s="167">
        <v>12</v>
      </c>
      <c r="C82" s="177">
        <f t="shared" si="9"/>
        <v>9.2058400000000002</v>
      </c>
      <c r="D82" s="173"/>
      <c r="E82" s="173">
        <f t="shared" si="10"/>
        <v>9.2058400000000002</v>
      </c>
      <c r="F82" s="173">
        <f t="shared" si="11"/>
        <v>0</v>
      </c>
      <c r="H82" s="178"/>
      <c r="I82" s="178">
        <f t="shared" si="13"/>
        <v>23.014599999999998</v>
      </c>
      <c r="L82" s="174"/>
      <c r="M82" s="179">
        <f t="shared" si="12"/>
        <v>7429.1128799999988</v>
      </c>
      <c r="N82" s="173">
        <f t="shared" si="14"/>
        <v>0</v>
      </c>
    </row>
    <row r="83" spans="2:20">
      <c r="B83" s="167">
        <v>13</v>
      </c>
      <c r="C83" s="177">
        <f t="shared" si="9"/>
        <v>9.2058400000000002</v>
      </c>
      <c r="D83" s="173"/>
      <c r="E83" s="173">
        <f t="shared" si="10"/>
        <v>9.2058400000000002</v>
      </c>
      <c r="F83" s="173">
        <f t="shared" si="11"/>
        <v>0</v>
      </c>
      <c r="H83" s="178"/>
      <c r="I83" s="178">
        <f t="shared" si="13"/>
        <v>23.014599999999998</v>
      </c>
      <c r="L83" s="174"/>
      <c r="M83" s="179">
        <f t="shared" si="12"/>
        <v>7429.1128799999988</v>
      </c>
      <c r="N83" s="173">
        <f t="shared" si="14"/>
        <v>0</v>
      </c>
    </row>
    <row r="84" spans="2:20">
      <c r="B84" s="167">
        <v>14</v>
      </c>
      <c r="C84" s="177">
        <f t="shared" si="9"/>
        <v>9.2058400000000002</v>
      </c>
      <c r="D84" s="173"/>
      <c r="E84" s="173">
        <f t="shared" si="10"/>
        <v>9.2058400000000002</v>
      </c>
      <c r="F84" s="173">
        <f t="shared" si="11"/>
        <v>0</v>
      </c>
      <c r="H84" s="178"/>
      <c r="I84" s="178">
        <f t="shared" si="13"/>
        <v>23.014599999999998</v>
      </c>
      <c r="L84" s="174"/>
      <c r="M84" s="179">
        <f t="shared" si="12"/>
        <v>7429.1128799999988</v>
      </c>
      <c r="N84" s="173">
        <f t="shared" si="14"/>
        <v>0</v>
      </c>
    </row>
    <row r="85" spans="2:20">
      <c r="B85" s="167">
        <v>15</v>
      </c>
      <c r="C85" s="177">
        <f t="shared" si="9"/>
        <v>9.2058400000000002</v>
      </c>
      <c r="D85" s="173"/>
      <c r="E85" s="173">
        <f t="shared" si="10"/>
        <v>9.2058400000000002</v>
      </c>
      <c r="F85" s="173">
        <f t="shared" si="11"/>
        <v>0</v>
      </c>
      <c r="H85" s="178"/>
      <c r="I85" s="178">
        <f t="shared" si="13"/>
        <v>23.014599999999998</v>
      </c>
      <c r="L85" s="174"/>
      <c r="M85" s="179">
        <f t="shared" si="12"/>
        <v>7429.1128799999988</v>
      </c>
      <c r="N85" s="173">
        <f t="shared" si="14"/>
        <v>0</v>
      </c>
      <c r="T85">
        <v>2</v>
      </c>
    </row>
    <row r="86" spans="2:20">
      <c r="B86" s="167">
        <v>16</v>
      </c>
      <c r="C86" s="177">
        <f t="shared" si="9"/>
        <v>9.2058400000000002</v>
      </c>
      <c r="D86" s="173"/>
      <c r="E86" s="173">
        <f t="shared" si="10"/>
        <v>9.2058400000000002</v>
      </c>
      <c r="F86" s="173">
        <f t="shared" si="11"/>
        <v>0</v>
      </c>
      <c r="H86" s="178"/>
      <c r="I86" s="178">
        <f t="shared" si="13"/>
        <v>23.014599999999998</v>
      </c>
      <c r="L86" s="174"/>
      <c r="M86" s="179">
        <f t="shared" si="12"/>
        <v>7429.1128799999988</v>
      </c>
      <c r="N86" s="173">
        <f t="shared" si="14"/>
        <v>0</v>
      </c>
    </row>
    <row r="87" spans="2:20">
      <c r="F87" s="181">
        <f>SUM(F71:F86)</f>
        <v>0</v>
      </c>
      <c r="G87" s="79">
        <f>(F87/10)</f>
        <v>0</v>
      </c>
      <c r="L87" s="174">
        <f>SUM(L71:L86)</f>
        <v>0</v>
      </c>
      <c r="M87" s="174">
        <f>SUM(M71:M86)</f>
        <v>104007.58031999999</v>
      </c>
      <c r="N87" s="182">
        <f>SUM(N71:N86)</f>
        <v>0</v>
      </c>
    </row>
    <row r="88" spans="2:20" ht="15.75" thickBot="1">
      <c r="B88" t="s">
        <v>155</v>
      </c>
      <c r="C88">
        <f>612/180</f>
        <v>3.4</v>
      </c>
      <c r="L88" s="183">
        <f>(L87*C88)</f>
        <v>0</v>
      </c>
      <c r="M88" s="183">
        <f>(M87*C88)</f>
        <v>353625.77308799996</v>
      </c>
      <c r="N88" s="184">
        <f>(N87*C88)</f>
        <v>0</v>
      </c>
    </row>
    <row r="89" spans="2:20" ht="15.75" thickTop="1">
      <c r="B89" t="s">
        <v>156</v>
      </c>
      <c r="L89" s="144"/>
      <c r="M89" s="144">
        <v>1</v>
      </c>
      <c r="N89" s="144">
        <v>700</v>
      </c>
    </row>
    <row r="90" spans="2:20">
      <c r="L90" s="144"/>
      <c r="M90" s="144">
        <f>(M89*M88)</f>
        <v>353625.77308799996</v>
      </c>
      <c r="N90" s="144">
        <f>(N89*N88)</f>
        <v>0</v>
      </c>
    </row>
    <row r="91" spans="2:20">
      <c r="L91" s="1758">
        <f>SUM(L90:N90)</f>
        <v>353625.77308799996</v>
      </c>
      <c r="M91" s="1758"/>
      <c r="N91" s="1758"/>
    </row>
    <row r="92" spans="2:20">
      <c r="L92" s="1759">
        <f>(L91/(3.4*J66*1000))</f>
        <v>1.0592983516483516</v>
      </c>
      <c r="M92" s="1759"/>
      <c r="N92" s="1759"/>
    </row>
    <row r="94" spans="2:20" ht="15.75" thickBot="1">
      <c r="B94" s="175" t="s">
        <v>115</v>
      </c>
      <c r="G94" s="158" t="s">
        <v>128</v>
      </c>
      <c r="H94" t="s">
        <v>129</v>
      </c>
      <c r="I94" s="157">
        <v>2.4E-2</v>
      </c>
    </row>
    <row r="95" spans="2:20" ht="30.75" thickBot="1">
      <c r="B95" s="162" t="s">
        <v>157</v>
      </c>
      <c r="C95" s="163" t="s">
        <v>57</v>
      </c>
      <c r="D95" s="164" t="s">
        <v>135</v>
      </c>
      <c r="E95" s="164" t="s">
        <v>136</v>
      </c>
      <c r="F95" s="164" t="s">
        <v>137</v>
      </c>
      <c r="G95" s="164" t="s">
        <v>127</v>
      </c>
      <c r="H95" s="164" t="s">
        <v>138</v>
      </c>
      <c r="I95" s="164" t="s">
        <v>139</v>
      </c>
      <c r="J95" s="164" t="s">
        <v>140</v>
      </c>
      <c r="K95" s="164" t="s">
        <v>141</v>
      </c>
      <c r="L95" s="165" t="s">
        <v>142</v>
      </c>
      <c r="M95" s="166" t="s">
        <v>143</v>
      </c>
    </row>
    <row r="96" spans="2:20">
      <c r="B96" s="167">
        <v>1</v>
      </c>
      <c r="C96" s="83"/>
      <c r="D96" s="1157">
        <v>1.9</v>
      </c>
      <c r="E96" s="168">
        <v>0.84</v>
      </c>
      <c r="F96" s="185">
        <v>49</v>
      </c>
      <c r="G96" s="177">
        <f t="shared" ref="G96:G105" si="15">((D96*E96)/2)*F96</f>
        <v>39.101999999999997</v>
      </c>
      <c r="H96" s="168">
        <v>19.600000000000001</v>
      </c>
      <c r="I96" s="169">
        <f>(H96/$I$94)/1000</f>
        <v>0.81666666666666676</v>
      </c>
      <c r="J96" s="170">
        <f>(G96*I96)/1.5</f>
        <v>21.288866666666667</v>
      </c>
      <c r="K96" s="171">
        <f>(G96/$L$45)</f>
        <v>2.7929999999999997</v>
      </c>
      <c r="L96" s="171">
        <f>(G96/$L$46)</f>
        <v>6.5169999999999995</v>
      </c>
    </row>
    <row r="97" spans="2:17">
      <c r="B97" s="167">
        <v>2</v>
      </c>
      <c r="C97" s="83"/>
      <c r="D97" s="1157">
        <v>1.65</v>
      </c>
      <c r="E97" s="168">
        <v>0.69</v>
      </c>
      <c r="F97" s="185">
        <v>40</v>
      </c>
      <c r="G97" s="177">
        <f t="shared" si="15"/>
        <v>22.769999999999996</v>
      </c>
      <c r="H97" s="168">
        <v>19.600000000000001</v>
      </c>
      <c r="I97" s="169">
        <f t="shared" ref="I97:I105" si="16">(H97/$I$94)/1000</f>
        <v>0.81666666666666676</v>
      </c>
      <c r="J97" s="170">
        <f t="shared" ref="J97:J105" si="17">(G97*I97)/1.5</f>
        <v>12.396999999999998</v>
      </c>
      <c r="K97" s="171">
        <f t="shared" ref="K97:K106" si="18">(G97/$L$45)</f>
        <v>1.6264285714285711</v>
      </c>
      <c r="L97" s="171">
        <f t="shared" ref="L97:L99" si="19">(G97/$L$46)</f>
        <v>3.7949999999999995</v>
      </c>
    </row>
    <row r="98" spans="2:17">
      <c r="B98" s="167">
        <v>3</v>
      </c>
      <c r="C98" s="83"/>
      <c r="D98" s="1157">
        <v>1.95</v>
      </c>
      <c r="E98" s="168">
        <v>0.65</v>
      </c>
      <c r="F98" s="185">
        <v>49</v>
      </c>
      <c r="G98" s="177">
        <f t="shared" si="15"/>
        <v>31.053750000000001</v>
      </c>
      <c r="H98" s="168">
        <v>19.600000000000001</v>
      </c>
      <c r="I98" s="169">
        <f t="shared" si="16"/>
        <v>0.81666666666666676</v>
      </c>
      <c r="J98" s="170">
        <f t="shared" si="17"/>
        <v>16.907041666666668</v>
      </c>
      <c r="K98" s="171">
        <f t="shared" si="18"/>
        <v>2.2181250000000001</v>
      </c>
      <c r="L98" s="171">
        <f t="shared" si="19"/>
        <v>5.1756250000000001</v>
      </c>
    </row>
    <row r="99" spans="2:17">
      <c r="B99" s="167">
        <v>4</v>
      </c>
      <c r="C99" s="83"/>
      <c r="D99" s="1157">
        <v>1.7</v>
      </c>
      <c r="E99" s="168">
        <v>0.65</v>
      </c>
      <c r="F99" s="185">
        <v>46</v>
      </c>
      <c r="G99" s="177">
        <f t="shared" si="15"/>
        <v>25.414999999999999</v>
      </c>
      <c r="H99" s="168">
        <v>19.600000000000001</v>
      </c>
      <c r="I99" s="169">
        <f t="shared" si="16"/>
        <v>0.81666666666666676</v>
      </c>
      <c r="J99" s="170">
        <f t="shared" si="17"/>
        <v>13.837055555555557</v>
      </c>
      <c r="K99" s="171">
        <f t="shared" si="18"/>
        <v>1.8153571428571429</v>
      </c>
      <c r="L99" s="171">
        <f t="shared" si="19"/>
        <v>4.2358333333333329</v>
      </c>
    </row>
    <row r="100" spans="2:17">
      <c r="B100" s="167">
        <v>5</v>
      </c>
      <c r="C100" s="83"/>
      <c r="D100" s="1157">
        <v>1.95</v>
      </c>
      <c r="E100" s="168">
        <v>0.8</v>
      </c>
      <c r="F100" s="185">
        <v>44</v>
      </c>
      <c r="G100" s="177">
        <f t="shared" si="15"/>
        <v>34.32</v>
      </c>
      <c r="H100" s="168">
        <v>19.600000000000001</v>
      </c>
      <c r="I100" s="169">
        <f t="shared" si="16"/>
        <v>0.81666666666666676</v>
      </c>
      <c r="J100" s="170">
        <f t="shared" si="17"/>
        <v>18.685333333333336</v>
      </c>
      <c r="K100" s="172">
        <f t="shared" si="18"/>
        <v>2.4514285714285715</v>
      </c>
      <c r="L100" s="172">
        <f>(G100/$L$46)</f>
        <v>5.72</v>
      </c>
    </row>
    <row r="101" spans="2:17">
      <c r="B101" s="167">
        <v>6</v>
      </c>
      <c r="C101" s="83"/>
      <c r="D101" s="1157">
        <v>1.9</v>
      </c>
      <c r="E101" s="168">
        <v>0.87</v>
      </c>
      <c r="F101" s="185">
        <v>43</v>
      </c>
      <c r="G101" s="177">
        <f t="shared" si="15"/>
        <v>35.539500000000004</v>
      </c>
      <c r="H101" s="168">
        <v>19.600000000000001</v>
      </c>
      <c r="I101" s="169">
        <f t="shared" si="16"/>
        <v>0.81666666666666676</v>
      </c>
      <c r="J101" s="170">
        <f t="shared" si="17"/>
        <v>19.349283333333336</v>
      </c>
      <c r="K101" s="171">
        <f t="shared" si="18"/>
        <v>2.5385357142857146</v>
      </c>
      <c r="L101" s="171">
        <f t="shared" ref="L101:L106" si="20">(G101/$L$46)</f>
        <v>5.9232500000000003</v>
      </c>
    </row>
    <row r="102" spans="2:17">
      <c r="B102" s="167">
        <v>7</v>
      </c>
      <c r="C102" s="83"/>
      <c r="D102" s="1157">
        <v>1.9</v>
      </c>
      <c r="E102" s="168">
        <v>0.77</v>
      </c>
      <c r="F102" s="185">
        <v>36</v>
      </c>
      <c r="G102" s="177">
        <f t="shared" si="15"/>
        <v>26.333999999999996</v>
      </c>
      <c r="H102" s="168">
        <v>19.600000000000001</v>
      </c>
      <c r="I102" s="169">
        <f t="shared" si="16"/>
        <v>0.81666666666666676</v>
      </c>
      <c r="J102" s="170">
        <f>(G102*I102)/1.5</f>
        <v>14.337400000000001</v>
      </c>
      <c r="K102" s="171">
        <f t="shared" si="18"/>
        <v>1.8809999999999998</v>
      </c>
      <c r="L102" s="171">
        <f t="shared" si="20"/>
        <v>4.3889999999999993</v>
      </c>
    </row>
    <row r="103" spans="2:17">
      <c r="B103" s="167">
        <v>8</v>
      </c>
      <c r="C103" s="83"/>
      <c r="D103" s="1157">
        <v>2</v>
      </c>
      <c r="E103" s="168">
        <v>0.85</v>
      </c>
      <c r="F103" s="185">
        <v>45</v>
      </c>
      <c r="G103" s="177">
        <f t="shared" si="15"/>
        <v>38.25</v>
      </c>
      <c r="H103" s="168">
        <v>19.600000000000001</v>
      </c>
      <c r="I103" s="169">
        <f t="shared" si="16"/>
        <v>0.81666666666666676</v>
      </c>
      <c r="J103" s="170">
        <f>(G103*I103)/1.5</f>
        <v>20.825000000000003</v>
      </c>
      <c r="K103" s="171">
        <f t="shared" si="18"/>
        <v>2.7321428571428572</v>
      </c>
      <c r="L103" s="171">
        <f t="shared" si="20"/>
        <v>6.375</v>
      </c>
    </row>
    <row r="104" spans="2:17">
      <c r="B104" s="167">
        <v>9</v>
      </c>
      <c r="C104" s="83"/>
      <c r="D104" s="1157">
        <v>1.9</v>
      </c>
      <c r="E104" s="168">
        <v>0.72</v>
      </c>
      <c r="F104" s="185">
        <v>48</v>
      </c>
      <c r="G104" s="177">
        <f t="shared" si="15"/>
        <v>32.831999999999994</v>
      </c>
      <c r="H104" s="168">
        <v>19.600000000000001</v>
      </c>
      <c r="I104" s="169">
        <f t="shared" si="16"/>
        <v>0.81666666666666676</v>
      </c>
      <c r="J104" s="170">
        <f>(G104*I104)/1.5</f>
        <v>17.8752</v>
      </c>
      <c r="K104" s="171">
        <f t="shared" si="18"/>
        <v>2.3451428571428568</v>
      </c>
      <c r="L104" s="171">
        <f t="shared" si="20"/>
        <v>5.4719999999999986</v>
      </c>
    </row>
    <row r="105" spans="2:17">
      <c r="B105" s="167">
        <v>10</v>
      </c>
      <c r="C105" s="83"/>
      <c r="D105" s="1157">
        <v>2.1</v>
      </c>
      <c r="E105" s="168">
        <v>0.8</v>
      </c>
      <c r="F105" s="185">
        <v>54</v>
      </c>
      <c r="G105" s="177">
        <f t="shared" si="15"/>
        <v>45.360000000000007</v>
      </c>
      <c r="H105" s="168">
        <v>19.600000000000001</v>
      </c>
      <c r="I105" s="169">
        <f t="shared" si="16"/>
        <v>0.81666666666666676</v>
      </c>
      <c r="J105" s="170">
        <f t="shared" si="17"/>
        <v>24.696000000000009</v>
      </c>
      <c r="K105" s="171">
        <f t="shared" si="18"/>
        <v>3.2400000000000007</v>
      </c>
      <c r="L105" s="171">
        <f t="shared" si="20"/>
        <v>7.5600000000000014</v>
      </c>
    </row>
    <row r="106" spans="2:17">
      <c r="G106" s="173">
        <f>SUM(G96:G105)</f>
        <v>330.97624999999999</v>
      </c>
      <c r="J106" s="1179">
        <f>SUM(J96:J105)</f>
        <v>180.19818055555558</v>
      </c>
      <c r="K106" s="1180">
        <f t="shared" si="18"/>
        <v>23.641160714285714</v>
      </c>
      <c r="L106" s="1180">
        <f t="shared" si="20"/>
        <v>55.162708333333335</v>
      </c>
    </row>
    <row r="107" spans="2:17">
      <c r="D107" s="1166"/>
      <c r="N107" s="1208">
        <f>N112/SUM(N112:O112)</f>
        <v>0.1111111111111111</v>
      </c>
      <c r="O107" s="1208">
        <f>O112/SUM(N112:O112)</f>
        <v>0.88888888888888884</v>
      </c>
    </row>
    <row r="108" spans="2:17">
      <c r="D108" s="1166"/>
      <c r="O108" s="174">
        <v>152</v>
      </c>
    </row>
    <row r="109" spans="2:17">
      <c r="D109" s="1757" t="s">
        <v>144</v>
      </c>
      <c r="E109" s="1757"/>
      <c r="F109" s="1757"/>
      <c r="G109" s="1757"/>
      <c r="H109" s="1757" t="s">
        <v>145</v>
      </c>
      <c r="I109" s="1757"/>
      <c r="J109" s="1166">
        <v>1</v>
      </c>
      <c r="K109" s="1209">
        <v>0.4</v>
      </c>
      <c r="L109" s="1757" t="s">
        <v>145</v>
      </c>
      <c r="M109" s="1757"/>
      <c r="N109" s="1166">
        <v>1</v>
      </c>
      <c r="O109" s="174">
        <v>304</v>
      </c>
    </row>
    <row r="110" spans="2:17">
      <c r="B110" s="175" t="s">
        <v>115</v>
      </c>
      <c r="D110" s="176" t="s">
        <v>158</v>
      </c>
      <c r="E110" s="143" t="s">
        <v>148</v>
      </c>
      <c r="G110" s="143" t="s">
        <v>149</v>
      </c>
      <c r="H110" s="143" t="s">
        <v>159</v>
      </c>
      <c r="I110" s="176" t="s">
        <v>158</v>
      </c>
      <c r="J110" s="143" t="s">
        <v>148</v>
      </c>
      <c r="K110" s="143" t="s">
        <v>857</v>
      </c>
      <c r="L110" s="143" t="s">
        <v>149</v>
      </c>
      <c r="M110" s="143" t="s">
        <v>159</v>
      </c>
      <c r="N110" s="176" t="s">
        <v>158</v>
      </c>
      <c r="O110" s="143" t="s">
        <v>148</v>
      </c>
      <c r="P110" s="143" t="s">
        <v>149</v>
      </c>
      <c r="Q110" s="143" t="s">
        <v>159</v>
      </c>
    </row>
    <row r="111" spans="2:17">
      <c r="B111" t="s">
        <v>151</v>
      </c>
      <c r="D111" s="145">
        <v>0.2</v>
      </c>
      <c r="E111" s="145">
        <v>0.8</v>
      </c>
      <c r="F111" s="145"/>
      <c r="I111" s="145">
        <v>0.2</v>
      </c>
      <c r="J111" s="145">
        <v>0.8</v>
      </c>
      <c r="K111" s="145"/>
      <c r="N111" s="145">
        <v>0.2</v>
      </c>
      <c r="O111" s="145">
        <v>0.8</v>
      </c>
    </row>
    <row r="112" spans="2:17">
      <c r="B112" s="167">
        <v>1</v>
      </c>
      <c r="C112" s="177">
        <f t="shared" ref="C112:C116" si="21">(G96)</f>
        <v>39.101999999999997</v>
      </c>
      <c r="D112" s="173">
        <f>(C112*$D$111)</f>
        <v>7.8203999999999994</v>
      </c>
      <c r="E112" s="173">
        <f>(C112*$E$111)</f>
        <v>31.281599999999997</v>
      </c>
      <c r="F112" s="173"/>
      <c r="I112" s="178">
        <f>(D112/$K$109)</f>
        <v>19.550999999999998</v>
      </c>
      <c r="J112" s="178">
        <f>(E112/$K$109)</f>
        <v>78.203999999999994</v>
      </c>
      <c r="K112" s="178">
        <f t="shared" ref="I112:K121" si="22">(F112/$K$109)</f>
        <v>0</v>
      </c>
      <c r="L112" s="178"/>
      <c r="M112" s="178"/>
      <c r="N112" s="179">
        <f t="shared" ref="N112:N121" si="23">(I112*$O$108)</f>
        <v>2971.752</v>
      </c>
      <c r="O112" s="179">
        <f t="shared" ref="O112:O121" si="24">(J112*$O$109)</f>
        <v>23774.016</v>
      </c>
      <c r="P112" s="174"/>
      <c r="Q112" s="174"/>
    </row>
    <row r="113" spans="2:17">
      <c r="B113" s="167">
        <v>2</v>
      </c>
      <c r="C113" s="177">
        <f t="shared" si="21"/>
        <v>22.769999999999996</v>
      </c>
      <c r="D113" s="173">
        <f t="shared" ref="D113:D121" si="25">(C113*$D$111)</f>
        <v>4.5539999999999994</v>
      </c>
      <c r="E113" s="173">
        <f t="shared" ref="E113:E121" si="26">(C113*$E$111)</f>
        <v>18.215999999999998</v>
      </c>
      <c r="F113" s="173"/>
      <c r="I113" s="178">
        <f t="shared" si="22"/>
        <v>11.384999999999998</v>
      </c>
      <c r="J113" s="178">
        <f t="shared" si="22"/>
        <v>45.539999999999992</v>
      </c>
      <c r="K113" s="178">
        <f t="shared" si="22"/>
        <v>0</v>
      </c>
      <c r="N113" s="179">
        <f t="shared" si="23"/>
        <v>1730.5199999999998</v>
      </c>
      <c r="O113" s="179">
        <f t="shared" si="24"/>
        <v>13844.159999999998</v>
      </c>
    </row>
    <row r="114" spans="2:17">
      <c r="B114" s="167">
        <v>3</v>
      </c>
      <c r="C114" s="177">
        <f t="shared" si="21"/>
        <v>31.053750000000001</v>
      </c>
      <c r="D114" s="173">
        <f t="shared" si="25"/>
        <v>6.2107500000000009</v>
      </c>
      <c r="E114" s="173">
        <f t="shared" si="26"/>
        <v>24.843000000000004</v>
      </c>
      <c r="F114" s="173"/>
      <c r="I114" s="178">
        <f t="shared" si="22"/>
        <v>15.526875000000002</v>
      </c>
      <c r="J114" s="178">
        <f t="shared" si="22"/>
        <v>62.107500000000009</v>
      </c>
      <c r="K114" s="178">
        <f t="shared" si="22"/>
        <v>0</v>
      </c>
      <c r="N114" s="179">
        <f t="shared" si="23"/>
        <v>2360.0850000000005</v>
      </c>
      <c r="O114" s="179">
        <f t="shared" si="24"/>
        <v>18880.680000000004</v>
      </c>
    </row>
    <row r="115" spans="2:17">
      <c r="B115" s="167">
        <v>4</v>
      </c>
      <c r="C115" s="177">
        <f t="shared" si="21"/>
        <v>25.414999999999999</v>
      </c>
      <c r="D115" s="173">
        <f t="shared" si="25"/>
        <v>5.0830000000000002</v>
      </c>
      <c r="E115" s="173">
        <f t="shared" si="26"/>
        <v>20.332000000000001</v>
      </c>
      <c r="F115" s="173"/>
      <c r="I115" s="178">
        <f t="shared" si="22"/>
        <v>12.7075</v>
      </c>
      <c r="J115" s="178">
        <f t="shared" si="22"/>
        <v>50.83</v>
      </c>
      <c r="K115" s="178">
        <f t="shared" si="22"/>
        <v>0</v>
      </c>
      <c r="N115" s="179">
        <f t="shared" si="23"/>
        <v>1931.54</v>
      </c>
      <c r="O115" s="179">
        <f t="shared" si="24"/>
        <v>15452.32</v>
      </c>
    </row>
    <row r="116" spans="2:17">
      <c r="B116" s="167">
        <v>5</v>
      </c>
      <c r="C116" s="177">
        <f t="shared" si="21"/>
        <v>34.32</v>
      </c>
      <c r="D116" s="173">
        <f t="shared" si="25"/>
        <v>6.8640000000000008</v>
      </c>
      <c r="E116" s="173">
        <f t="shared" si="26"/>
        <v>27.456000000000003</v>
      </c>
      <c r="F116" s="173"/>
      <c r="I116" s="178">
        <f t="shared" si="22"/>
        <v>17.16</v>
      </c>
      <c r="J116" s="178">
        <f t="shared" si="22"/>
        <v>68.64</v>
      </c>
      <c r="K116" s="178">
        <f t="shared" si="22"/>
        <v>0</v>
      </c>
      <c r="N116" s="179">
        <f t="shared" si="23"/>
        <v>2608.3200000000002</v>
      </c>
      <c r="O116" s="179">
        <f t="shared" si="24"/>
        <v>20866.560000000001</v>
      </c>
    </row>
    <row r="117" spans="2:17">
      <c r="B117" s="167">
        <v>6</v>
      </c>
      <c r="C117" s="177">
        <f>(G101)</f>
        <v>35.539500000000004</v>
      </c>
      <c r="D117" s="173">
        <f t="shared" si="25"/>
        <v>7.1079000000000008</v>
      </c>
      <c r="E117" s="173">
        <f t="shared" si="26"/>
        <v>28.431600000000003</v>
      </c>
      <c r="F117" s="173"/>
      <c r="I117" s="178">
        <f>(D117/$K$109)</f>
        <v>17.769750000000002</v>
      </c>
      <c r="J117" s="178">
        <f t="shared" si="22"/>
        <v>71.079000000000008</v>
      </c>
      <c r="K117" s="178">
        <f t="shared" si="22"/>
        <v>0</v>
      </c>
      <c r="N117" s="179">
        <f t="shared" si="23"/>
        <v>2701.0020000000004</v>
      </c>
      <c r="O117" s="179">
        <f t="shared" si="24"/>
        <v>21608.016000000003</v>
      </c>
    </row>
    <row r="118" spans="2:17">
      <c r="B118" s="167">
        <v>7</v>
      </c>
      <c r="C118" s="177">
        <f>G102</f>
        <v>26.333999999999996</v>
      </c>
      <c r="D118" s="173">
        <f t="shared" si="25"/>
        <v>5.2667999999999999</v>
      </c>
      <c r="E118" s="173">
        <f t="shared" si="26"/>
        <v>21.0672</v>
      </c>
      <c r="F118" s="173"/>
      <c r="I118" s="178">
        <f t="shared" ref="I118:I119" si="27">(D118/$K$109)</f>
        <v>13.167</v>
      </c>
      <c r="J118" s="178">
        <f t="shared" si="22"/>
        <v>52.667999999999999</v>
      </c>
      <c r="K118" s="178">
        <f t="shared" si="22"/>
        <v>0</v>
      </c>
      <c r="N118" s="179">
        <f t="shared" si="23"/>
        <v>2001.384</v>
      </c>
      <c r="O118" s="179">
        <f t="shared" si="24"/>
        <v>16011.072</v>
      </c>
    </row>
    <row r="119" spans="2:17">
      <c r="B119" s="167">
        <v>8</v>
      </c>
      <c r="C119" s="177">
        <f>G103</f>
        <v>38.25</v>
      </c>
      <c r="D119" s="173">
        <f t="shared" si="25"/>
        <v>7.65</v>
      </c>
      <c r="E119" s="173">
        <f t="shared" si="26"/>
        <v>30.6</v>
      </c>
      <c r="F119" s="173"/>
      <c r="I119" s="178">
        <f t="shared" si="27"/>
        <v>19.125</v>
      </c>
      <c r="J119" s="178">
        <f t="shared" si="22"/>
        <v>76.5</v>
      </c>
      <c r="K119" s="178">
        <f t="shared" si="22"/>
        <v>0</v>
      </c>
      <c r="N119" s="179">
        <f t="shared" si="23"/>
        <v>2907</v>
      </c>
      <c r="O119" s="179">
        <f t="shared" si="24"/>
        <v>23256</v>
      </c>
    </row>
    <row r="120" spans="2:17">
      <c r="B120" s="167">
        <v>9</v>
      </c>
      <c r="C120" s="177">
        <f>G104</f>
        <v>32.831999999999994</v>
      </c>
      <c r="D120" s="173">
        <f t="shared" si="25"/>
        <v>6.5663999999999989</v>
      </c>
      <c r="E120" s="173">
        <f t="shared" si="26"/>
        <v>26.265599999999996</v>
      </c>
      <c r="F120" s="173"/>
      <c r="I120" s="178">
        <f t="shared" si="22"/>
        <v>16.415999999999997</v>
      </c>
      <c r="J120" s="178">
        <f t="shared" si="22"/>
        <v>65.663999999999987</v>
      </c>
      <c r="K120" s="178">
        <f t="shared" si="22"/>
        <v>0</v>
      </c>
      <c r="N120" s="179">
        <f t="shared" si="23"/>
        <v>2495.2319999999995</v>
      </c>
      <c r="O120" s="179">
        <f t="shared" si="24"/>
        <v>19961.855999999996</v>
      </c>
    </row>
    <row r="121" spans="2:17">
      <c r="B121" s="167">
        <v>10</v>
      </c>
      <c r="C121" s="177">
        <f t="shared" ref="C121" si="28">(G105)</f>
        <v>45.360000000000007</v>
      </c>
      <c r="D121" s="173">
        <f t="shared" si="25"/>
        <v>9.072000000000001</v>
      </c>
      <c r="E121" s="173">
        <f t="shared" si="26"/>
        <v>36.288000000000004</v>
      </c>
      <c r="F121" s="173"/>
      <c r="I121" s="178">
        <f t="shared" si="22"/>
        <v>22.68</v>
      </c>
      <c r="J121" s="178">
        <f t="shared" si="22"/>
        <v>90.72</v>
      </c>
      <c r="K121" s="178">
        <f t="shared" si="22"/>
        <v>0</v>
      </c>
      <c r="N121" s="179">
        <f t="shared" si="23"/>
        <v>3447.36</v>
      </c>
      <c r="O121" s="179">
        <f t="shared" si="24"/>
        <v>27578.880000000001</v>
      </c>
    </row>
    <row r="122" spans="2:17">
      <c r="I122" s="178"/>
      <c r="J122" s="178"/>
      <c r="N122" s="174">
        <f>SUM(N112:N121)</f>
        <v>25154.195000000003</v>
      </c>
      <c r="O122" s="174">
        <f>SUM(O112:O121)</f>
        <v>201233.56000000003</v>
      </c>
    </row>
    <row r="123" spans="2:17" ht="15.75" thickBot="1">
      <c r="B123" t="s">
        <v>155</v>
      </c>
      <c r="C123">
        <v>3</v>
      </c>
      <c r="N123" s="183">
        <f>(N122*C123)</f>
        <v>75462.585000000006</v>
      </c>
      <c r="O123" s="183">
        <f>(O122*C123)</f>
        <v>603700.68000000005</v>
      </c>
      <c r="Q123" s="473">
        <f>SUM(N123:O123)/2</f>
        <v>339581.63250000001</v>
      </c>
    </row>
    <row r="124" spans="2:17" ht="15.75" thickTop="1">
      <c r="B124" t="s">
        <v>156</v>
      </c>
      <c r="N124" s="144">
        <v>1</v>
      </c>
      <c r="O124" s="144">
        <v>0.5</v>
      </c>
    </row>
    <row r="125" spans="2:17">
      <c r="N125" s="144">
        <f>(N124*N123)</f>
        <v>75462.585000000006</v>
      </c>
      <c r="O125" s="144">
        <f>(O124*O123)</f>
        <v>301850.34000000003</v>
      </c>
    </row>
    <row r="126" spans="2:17" ht="15.75" thickBot="1">
      <c r="N126" s="1164">
        <f>SUM(N125:O125)</f>
        <v>377312.92500000005</v>
      </c>
      <c r="O126" s="1164"/>
    </row>
    <row r="127" spans="2:17" ht="15.75" thickBot="1">
      <c r="F127" s="1751" t="s">
        <v>858</v>
      </c>
      <c r="G127" s="1752"/>
      <c r="H127" s="1753"/>
      <c r="N127" s="1165">
        <f>(N126/(3*J106*1000))</f>
        <v>0.69795918367346932</v>
      </c>
      <c r="O127" s="1165"/>
    </row>
    <row r="128" spans="2:17" ht="19.5" thickBot="1">
      <c r="B128" s="1181" t="s">
        <v>859</v>
      </c>
      <c r="F128" s="1754"/>
      <c r="G128" s="1755"/>
      <c r="H128" s="1756"/>
    </row>
    <row r="129" spans="2:10" ht="19.5" thickBot="1">
      <c r="B129" s="1182" t="s">
        <v>860</v>
      </c>
      <c r="C129" s="1183" t="s">
        <v>861</v>
      </c>
    </row>
    <row r="130" spans="2:10" ht="15.75" thickBot="1">
      <c r="B130" s="1184">
        <v>1</v>
      </c>
      <c r="C130" s="1185">
        <v>11460</v>
      </c>
      <c r="E130" s="1186" t="s">
        <v>158</v>
      </c>
      <c r="G130" s="1186" t="s">
        <v>862</v>
      </c>
      <c r="I130" s="1186" t="s">
        <v>863</v>
      </c>
    </row>
    <row r="131" spans="2:10" ht="15.75" thickBot="1">
      <c r="B131" s="1187">
        <v>2</v>
      </c>
      <c r="C131" s="1188">
        <v>11040</v>
      </c>
      <c r="E131" s="1189" t="s">
        <v>118</v>
      </c>
      <c r="F131" s="1190" t="s">
        <v>864</v>
      </c>
      <c r="G131" s="1191" t="s">
        <v>118</v>
      </c>
      <c r="H131" s="1192" t="s">
        <v>864</v>
      </c>
      <c r="I131" s="1193" t="s">
        <v>118</v>
      </c>
      <c r="J131" s="1194" t="s">
        <v>865</v>
      </c>
    </row>
    <row r="132" spans="2:10" ht="15.75" thickBot="1">
      <c r="B132" s="1187">
        <v>3</v>
      </c>
      <c r="C132" s="1188">
        <v>11530</v>
      </c>
      <c r="E132" s="1195" t="s">
        <v>866</v>
      </c>
      <c r="F132" s="87" t="s">
        <v>867</v>
      </c>
      <c r="G132" s="87" t="s">
        <v>868</v>
      </c>
      <c r="H132" s="1196" t="s">
        <v>869</v>
      </c>
      <c r="I132" s="1197" t="s">
        <v>870</v>
      </c>
      <c r="J132" s="1198" t="s">
        <v>867</v>
      </c>
    </row>
    <row r="133" spans="2:10">
      <c r="B133" s="1187">
        <v>4</v>
      </c>
      <c r="C133" s="1188">
        <v>9960</v>
      </c>
    </row>
    <row r="134" spans="2:10">
      <c r="B134" s="1187">
        <v>5</v>
      </c>
      <c r="C134" s="1188">
        <v>11610</v>
      </c>
    </row>
    <row r="135" spans="2:10" ht="15.75" thickBot="1">
      <c r="B135" s="1187">
        <v>6</v>
      </c>
      <c r="C135" s="1188">
        <v>10180</v>
      </c>
    </row>
    <row r="136" spans="2:10" ht="15.75" thickBot="1">
      <c r="B136" s="1187">
        <v>7</v>
      </c>
      <c r="C136" s="1188">
        <v>10240</v>
      </c>
      <c r="E136" s="1186" t="s">
        <v>158</v>
      </c>
      <c r="G136" s="1186" t="s">
        <v>862</v>
      </c>
      <c r="I136" s="1186" t="s">
        <v>863</v>
      </c>
    </row>
    <row r="137" spans="2:10" ht="15.75" thickBot="1">
      <c r="B137" s="1195">
        <v>8</v>
      </c>
      <c r="C137" s="1199">
        <v>12340</v>
      </c>
      <c r="E137" s="1189" t="s">
        <v>118</v>
      </c>
      <c r="F137" s="1190" t="s">
        <v>864</v>
      </c>
      <c r="G137" s="1191" t="s">
        <v>118</v>
      </c>
      <c r="H137" s="1192" t="s">
        <v>864</v>
      </c>
      <c r="I137" s="1193" t="s">
        <v>118</v>
      </c>
      <c r="J137" s="1194" t="s">
        <v>865</v>
      </c>
    </row>
    <row r="138" spans="2:10" ht="15.75" thickBot="1">
      <c r="B138" s="1200" t="s">
        <v>387</v>
      </c>
      <c r="C138" s="1201">
        <f>SUM(C130:C137)</f>
        <v>88360</v>
      </c>
      <c r="E138" s="1195" t="s">
        <v>871</v>
      </c>
      <c r="F138" s="87">
        <v>72.289100000000005</v>
      </c>
      <c r="G138" s="87" t="s">
        <v>872</v>
      </c>
      <c r="H138" s="1196" t="s">
        <v>873</v>
      </c>
      <c r="I138" s="1197" t="s">
        <v>874</v>
      </c>
      <c r="J138" s="1198" t="s">
        <v>875</v>
      </c>
    </row>
    <row r="140" spans="2:10">
      <c r="D140" s="77"/>
    </row>
    <row r="144" spans="2:10">
      <c r="F144" s="77"/>
    </row>
  </sheetData>
  <mergeCells count="9">
    <mergeCell ref="F127:H128"/>
    <mergeCell ref="D68:G68"/>
    <mergeCell ref="H68:I68"/>
    <mergeCell ref="L68:M68"/>
    <mergeCell ref="L91:N91"/>
    <mergeCell ref="L92:N92"/>
    <mergeCell ref="D109:G109"/>
    <mergeCell ref="H109:I109"/>
    <mergeCell ref="L109:M109"/>
  </mergeCell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0949-A599-420D-8D0C-453017864863}">
  <dimension ref="A1:U30"/>
  <sheetViews>
    <sheetView topLeftCell="A5" zoomScale="70" zoomScaleNormal="70" workbookViewId="0">
      <selection activeCell="I19" sqref="I19"/>
    </sheetView>
  </sheetViews>
  <sheetFormatPr baseColWidth="10" defaultRowHeight="15"/>
  <cols>
    <col min="1" max="1" width="15.7109375" customWidth="1"/>
    <col min="2" max="2" width="16.5703125" customWidth="1"/>
    <col min="3" max="3" width="16.42578125" style="77" customWidth="1"/>
    <col min="4" max="4" width="15.28515625" style="77" customWidth="1"/>
    <col min="5" max="5" width="13.85546875" style="77" customWidth="1"/>
    <col min="6" max="6" width="12.140625" style="77" customWidth="1"/>
    <col min="7" max="7" width="11.7109375" style="77" customWidth="1"/>
    <col min="8" max="8" width="12.42578125" style="77" customWidth="1"/>
    <col min="9" max="9" width="16" style="77" customWidth="1"/>
    <col min="10" max="10" width="15.42578125" style="77" customWidth="1"/>
    <col min="11" max="11" width="11.28515625" style="77" customWidth="1"/>
    <col min="12" max="12" width="14.7109375" style="77" customWidth="1"/>
    <col min="13" max="13" width="14.7109375" customWidth="1"/>
    <col min="14" max="14" width="18.140625" customWidth="1"/>
    <col min="15" max="15" width="16.28515625" customWidth="1"/>
    <col min="16" max="16" width="16.42578125" customWidth="1"/>
    <col min="17" max="17" width="20.42578125" customWidth="1"/>
    <col min="18" max="18" width="21.7109375" customWidth="1"/>
    <col min="19" max="19" width="20.5703125" customWidth="1"/>
    <col min="20" max="20" width="23.42578125" customWidth="1"/>
    <col min="21" max="21" width="23" customWidth="1"/>
  </cols>
  <sheetData>
    <row r="1" spans="1:21" ht="15.75" thickBot="1">
      <c r="O1" s="1446">
        <v>45406</v>
      </c>
      <c r="R1" s="1446">
        <v>45406</v>
      </c>
      <c r="U1" s="1446">
        <v>45406</v>
      </c>
    </row>
    <row r="2" spans="1:21">
      <c r="D2" s="77" t="s">
        <v>961</v>
      </c>
      <c r="M2" s="1557" t="s">
        <v>963</v>
      </c>
      <c r="N2" s="1558"/>
      <c r="O2" s="1559"/>
      <c r="P2" s="1557" t="s">
        <v>962</v>
      </c>
      <c r="Q2" s="1558"/>
      <c r="R2" s="1559"/>
      <c r="S2" s="1568" t="s">
        <v>964</v>
      </c>
      <c r="T2" s="1558"/>
      <c r="U2" s="1559"/>
    </row>
    <row r="3" spans="1:21" ht="30">
      <c r="C3" s="1447" t="s">
        <v>965</v>
      </c>
      <c r="D3" s="1448" t="s">
        <v>966</v>
      </c>
      <c r="E3" s="1448"/>
      <c r="F3" s="1448" t="s">
        <v>967</v>
      </c>
      <c r="G3" s="1448"/>
      <c r="H3" s="1448"/>
      <c r="I3" s="1448"/>
      <c r="J3" s="1448"/>
      <c r="K3" s="1448"/>
      <c r="L3" s="1448"/>
      <c r="M3" s="1560" t="s">
        <v>968</v>
      </c>
      <c r="N3" s="1449" t="s">
        <v>969</v>
      </c>
      <c r="O3" s="1561" t="s">
        <v>970</v>
      </c>
      <c r="P3" s="1560" t="s">
        <v>968</v>
      </c>
      <c r="Q3" s="1449" t="s">
        <v>969</v>
      </c>
      <c r="R3" s="1561" t="s">
        <v>970</v>
      </c>
      <c r="S3" s="1560" t="s">
        <v>968</v>
      </c>
      <c r="T3" s="1449" t="s">
        <v>969</v>
      </c>
      <c r="U3" s="1561" t="s">
        <v>970</v>
      </c>
    </row>
    <row r="4" spans="1:21">
      <c r="B4" s="1450" t="s">
        <v>220</v>
      </c>
      <c r="C4" s="1451">
        <f>35*20.5</f>
        <v>717.5</v>
      </c>
      <c r="D4" s="1452">
        <f>32*20.5</f>
        <v>656</v>
      </c>
      <c r="E4" s="1452"/>
      <c r="F4" s="1452">
        <v>225</v>
      </c>
      <c r="G4" s="1452"/>
      <c r="H4" s="1452"/>
      <c r="I4" s="1452"/>
      <c r="J4" s="1452"/>
      <c r="K4" s="1452"/>
      <c r="L4" s="1452"/>
      <c r="M4" s="84">
        <v>270</v>
      </c>
      <c r="N4" s="1453">
        <f t="shared" ref="N4:N9" si="0">(D4*$M4)</f>
        <v>177120</v>
      </c>
      <c r="O4" s="1562">
        <f t="shared" ref="O4:O9" si="1">(F4*$M4)</f>
        <v>60750</v>
      </c>
      <c r="P4" s="84">
        <v>440</v>
      </c>
      <c r="Q4" s="1453">
        <f t="shared" ref="Q4:Q9" si="2">(D4*P4)</f>
        <v>288640</v>
      </c>
      <c r="R4" s="1562">
        <f t="shared" ref="R4:R9" si="3">(F4*P4)</f>
        <v>99000</v>
      </c>
      <c r="S4" s="84">
        <v>1400</v>
      </c>
      <c r="T4" s="1453">
        <f t="shared" ref="T4:T9" si="4">(D4*$S4)</f>
        <v>918400</v>
      </c>
      <c r="U4" s="1562">
        <f t="shared" ref="U4:U9" si="5">(F4*$S4)</f>
        <v>315000</v>
      </c>
    </row>
    <row r="5" spans="1:21">
      <c r="B5" s="1450" t="s">
        <v>221</v>
      </c>
      <c r="C5" s="1451">
        <f>51*20.5</f>
        <v>1045.5</v>
      </c>
      <c r="D5" s="1452">
        <f>46*20.5</f>
        <v>943</v>
      </c>
      <c r="E5" s="1452"/>
      <c r="F5" s="1452">
        <v>167</v>
      </c>
      <c r="G5" s="1452"/>
      <c r="H5" s="1452"/>
      <c r="I5" s="1452"/>
      <c r="J5" s="1452"/>
      <c r="K5" s="1452"/>
      <c r="L5" s="1452"/>
      <c r="M5" s="84">
        <v>110</v>
      </c>
      <c r="N5" s="1453">
        <f t="shared" si="0"/>
        <v>103730</v>
      </c>
      <c r="O5" s="1562">
        <f t="shared" si="1"/>
        <v>18370</v>
      </c>
      <c r="P5" s="84">
        <v>170</v>
      </c>
      <c r="Q5" s="1453">
        <f t="shared" si="2"/>
        <v>160310</v>
      </c>
      <c r="R5" s="1562">
        <f t="shared" si="3"/>
        <v>28390</v>
      </c>
      <c r="S5" s="84">
        <v>520</v>
      </c>
      <c r="T5" s="1453">
        <f t="shared" si="4"/>
        <v>490360</v>
      </c>
      <c r="U5" s="1562">
        <f t="shared" si="5"/>
        <v>86840</v>
      </c>
    </row>
    <row r="6" spans="1:21">
      <c r="B6" s="1450" t="s">
        <v>222</v>
      </c>
      <c r="C6" s="1451">
        <f>18*20.5</f>
        <v>369</v>
      </c>
      <c r="D6" s="1452">
        <f>(C6)</f>
        <v>369</v>
      </c>
      <c r="E6" s="1452"/>
      <c r="F6" s="1452">
        <v>1050</v>
      </c>
      <c r="G6" s="1452"/>
      <c r="H6" s="1452"/>
      <c r="I6" s="1452"/>
      <c r="J6" s="1452"/>
      <c r="K6" s="1452"/>
      <c r="L6" s="1452"/>
      <c r="M6" s="84">
        <v>150</v>
      </c>
      <c r="N6" s="1453">
        <f t="shared" si="0"/>
        <v>55350</v>
      </c>
      <c r="O6" s="1562">
        <f t="shared" si="1"/>
        <v>157500</v>
      </c>
      <c r="P6" s="84">
        <v>250</v>
      </c>
      <c r="Q6" s="1453">
        <f t="shared" si="2"/>
        <v>92250</v>
      </c>
      <c r="R6" s="1562">
        <f t="shared" si="3"/>
        <v>262500</v>
      </c>
      <c r="S6" s="84">
        <v>880</v>
      </c>
      <c r="T6" s="1453">
        <f t="shared" si="4"/>
        <v>324720</v>
      </c>
      <c r="U6" s="1562">
        <f t="shared" si="5"/>
        <v>924000</v>
      </c>
    </row>
    <row r="7" spans="1:21" hidden="1">
      <c r="B7" s="1450" t="s">
        <v>223</v>
      </c>
      <c r="C7" s="1451">
        <f>20*20.5</f>
        <v>410</v>
      </c>
      <c r="D7" s="1452">
        <f>18*20.5</f>
        <v>369</v>
      </c>
      <c r="E7" s="1452"/>
      <c r="F7" s="1452">
        <v>918.48</v>
      </c>
      <c r="G7" s="1452"/>
      <c r="H7" s="1452"/>
      <c r="I7" s="1452"/>
      <c r="J7" s="1452"/>
      <c r="K7" s="1452"/>
      <c r="L7" s="1452"/>
      <c r="M7" s="84"/>
      <c r="N7" s="1453">
        <f t="shared" si="0"/>
        <v>0</v>
      </c>
      <c r="O7" s="1562">
        <f t="shared" si="1"/>
        <v>0</v>
      </c>
      <c r="P7" s="84"/>
      <c r="Q7" s="1453">
        <f t="shared" si="2"/>
        <v>0</v>
      </c>
      <c r="R7" s="1562">
        <f t="shared" si="3"/>
        <v>0</v>
      </c>
      <c r="S7" s="84">
        <v>340</v>
      </c>
      <c r="T7" s="1453">
        <f t="shared" si="4"/>
        <v>125460</v>
      </c>
      <c r="U7" s="1562">
        <f t="shared" si="5"/>
        <v>312283.2</v>
      </c>
    </row>
    <row r="8" spans="1:21">
      <c r="A8" s="1452"/>
      <c r="B8" s="1450" t="s">
        <v>224</v>
      </c>
      <c r="C8" s="1451">
        <f>28.5*20.15</f>
        <v>574.27499999999998</v>
      </c>
      <c r="D8" s="1452">
        <f>22.5*20.5</f>
        <v>461.25</v>
      </c>
      <c r="E8" s="1452"/>
      <c r="F8" s="1452">
        <v>594</v>
      </c>
      <c r="G8" s="1452"/>
      <c r="H8" s="1452"/>
      <c r="I8" s="1452"/>
      <c r="J8" s="1452"/>
      <c r="K8" s="1452"/>
      <c r="L8" s="1452"/>
      <c r="M8" s="84">
        <v>10</v>
      </c>
      <c r="N8" s="1453">
        <f t="shared" si="0"/>
        <v>4612.5</v>
      </c>
      <c r="O8" s="1562">
        <f t="shared" si="1"/>
        <v>5940</v>
      </c>
      <c r="P8" s="84">
        <v>50</v>
      </c>
      <c r="Q8" s="1453">
        <f t="shared" si="2"/>
        <v>23062.5</v>
      </c>
      <c r="R8" s="1562">
        <f t="shared" si="3"/>
        <v>29700</v>
      </c>
      <c r="S8" s="84">
        <v>360</v>
      </c>
      <c r="T8" s="1453">
        <f t="shared" si="4"/>
        <v>166050</v>
      </c>
      <c r="U8" s="1562">
        <f t="shared" si="5"/>
        <v>213840</v>
      </c>
    </row>
    <row r="9" spans="1:21" ht="15.75" thickBot="1">
      <c r="A9" s="1452"/>
      <c r="B9" s="1450" t="s">
        <v>226</v>
      </c>
      <c r="C9" s="1451">
        <f>101*20.5</f>
        <v>2070.5</v>
      </c>
      <c r="D9" s="1452">
        <f>78.5*20.5</f>
        <v>1609.25</v>
      </c>
      <c r="E9" s="1452"/>
      <c r="F9" s="1452">
        <v>1813.36</v>
      </c>
      <c r="G9" s="1452"/>
      <c r="H9" s="1452"/>
      <c r="I9" s="1452"/>
      <c r="J9" s="1452"/>
      <c r="K9" s="1452"/>
      <c r="L9" s="1452"/>
      <c r="M9" s="84">
        <v>106</v>
      </c>
      <c r="N9" s="1453">
        <f t="shared" si="0"/>
        <v>170580.5</v>
      </c>
      <c r="O9" s="1562">
        <f t="shared" si="1"/>
        <v>192216.16</v>
      </c>
      <c r="P9" s="1563">
        <v>170</v>
      </c>
      <c r="Q9" s="1454">
        <f t="shared" si="2"/>
        <v>273572.5</v>
      </c>
      <c r="R9" s="1564">
        <f t="shared" si="3"/>
        <v>308271.2</v>
      </c>
      <c r="S9" s="84">
        <v>520</v>
      </c>
      <c r="T9" s="1453">
        <f t="shared" si="4"/>
        <v>836810</v>
      </c>
      <c r="U9" s="1562">
        <f t="shared" si="5"/>
        <v>942947.2</v>
      </c>
    </row>
    <row r="10" spans="1:21" ht="16.5" thickTop="1" thickBot="1">
      <c r="M10" s="1565">
        <f t="shared" ref="M10:R10" si="6">SUM(M4:M9)</f>
        <v>646</v>
      </c>
      <c r="N10" s="1566">
        <f t="shared" si="6"/>
        <v>511393</v>
      </c>
      <c r="O10" s="1577">
        <f t="shared" si="6"/>
        <v>434776.16000000003</v>
      </c>
      <c r="P10" s="1565">
        <f t="shared" si="6"/>
        <v>1080</v>
      </c>
      <c r="Q10" s="1566">
        <f t="shared" si="6"/>
        <v>837835</v>
      </c>
      <c r="R10" s="1577">
        <f t="shared" si="6"/>
        <v>727861.2</v>
      </c>
      <c r="S10" s="1565">
        <f t="shared" ref="S10:U10" si="7">SUM(S4:S9)</f>
        <v>4020</v>
      </c>
      <c r="T10" s="1566">
        <f t="shared" si="7"/>
        <v>2861800</v>
      </c>
      <c r="U10" s="1567">
        <f t="shared" si="7"/>
        <v>2794910.4</v>
      </c>
    </row>
    <row r="11" spans="1:21">
      <c r="M11" s="77"/>
      <c r="N11" s="1455">
        <f>(N10-O10)/O10</f>
        <v>0.17622134571499956</v>
      </c>
      <c r="O11" s="77"/>
      <c r="P11" s="77"/>
      <c r="Q11" s="1455">
        <f>(Q10-R10)/R10</f>
        <v>0.15109171913546163</v>
      </c>
      <c r="R11" s="77"/>
      <c r="S11" s="77"/>
      <c r="T11" s="1455">
        <f>(T10-U10)/U10</f>
        <v>2.3932645568888397E-2</v>
      </c>
      <c r="U11" s="77"/>
    </row>
    <row r="12" spans="1:21" hidden="1">
      <c r="D12" s="197" t="s">
        <v>143</v>
      </c>
      <c r="E12" s="197"/>
      <c r="F12"/>
      <c r="G12"/>
      <c r="H12"/>
      <c r="I12"/>
      <c r="J12"/>
      <c r="K12"/>
      <c r="L12"/>
    </row>
    <row r="13" spans="1:21" s="1294" customFormat="1" ht="99.75" hidden="1" customHeight="1">
      <c r="C13" s="1445"/>
      <c r="D13" s="1760" t="s">
        <v>971</v>
      </c>
      <c r="E13" s="1760"/>
      <c r="F13" s="1760"/>
      <c r="G13" s="1760"/>
      <c r="H13" s="1760"/>
      <c r="I13" s="1760"/>
      <c r="J13" s="1760"/>
      <c r="K13" s="1760"/>
      <c r="L13" s="1760"/>
      <c r="M13" s="1760"/>
      <c r="N13" s="1760"/>
      <c r="O13" s="1760"/>
      <c r="P13" s="1760"/>
      <c r="Q13" s="1760"/>
      <c r="R13" s="1760"/>
      <c r="S13" s="1760"/>
      <c r="T13" s="1760"/>
      <c r="U13" s="1760"/>
    </row>
    <row r="14" spans="1:21" hidden="1">
      <c r="F14"/>
      <c r="G14"/>
      <c r="H14"/>
      <c r="I14"/>
      <c r="J14"/>
      <c r="K14"/>
      <c r="L14"/>
    </row>
    <row r="15" spans="1:21" ht="92.25" hidden="1" customHeight="1">
      <c r="D15" s="1760" t="s">
        <v>972</v>
      </c>
      <c r="E15" s="1760"/>
      <c r="F15" s="1760"/>
      <c r="G15" s="1760"/>
      <c r="H15" s="1760"/>
      <c r="I15" s="1760"/>
      <c r="J15" s="1760"/>
      <c r="K15" s="1760"/>
      <c r="L15" s="1760"/>
      <c r="M15" s="1760"/>
      <c r="N15" s="1760"/>
      <c r="O15" s="1760"/>
      <c r="P15" s="1760"/>
      <c r="Q15" s="1760"/>
      <c r="R15" s="1760"/>
      <c r="S15" s="1760"/>
      <c r="T15" s="1760"/>
      <c r="U15" s="1760"/>
    </row>
    <row r="16" spans="1:21" hidden="1"/>
    <row r="20" spans="2:21" ht="15.75" thickBot="1">
      <c r="O20" s="1446">
        <v>45463</v>
      </c>
      <c r="R20" s="1446">
        <v>45463</v>
      </c>
      <c r="U20" s="1446">
        <v>45463</v>
      </c>
    </row>
    <row r="21" spans="2:21" ht="38.25" customHeight="1">
      <c r="D21" s="77" t="s">
        <v>961</v>
      </c>
      <c r="E21" s="1556" t="s">
        <v>1007</v>
      </c>
      <c r="F21" s="1556" t="s">
        <v>1002</v>
      </c>
      <c r="G21" s="77" t="s">
        <v>1000</v>
      </c>
      <c r="H21" s="1574">
        <v>45463</v>
      </c>
      <c r="M21" s="1557" t="s">
        <v>963</v>
      </c>
      <c r="N21" s="1558"/>
      <c r="O21" s="1559"/>
      <c r="P21" s="1557" t="s">
        <v>962</v>
      </c>
      <c r="Q21" s="1558"/>
      <c r="R21" s="1559"/>
      <c r="S21" s="1557" t="s">
        <v>999</v>
      </c>
      <c r="T21" s="1558"/>
      <c r="U21" s="1559"/>
    </row>
    <row r="22" spans="2:21" ht="45">
      <c r="C22" s="1447" t="s">
        <v>965</v>
      </c>
      <c r="D22" s="1448" t="s">
        <v>966</v>
      </c>
      <c r="E22" s="1448" t="s">
        <v>967</v>
      </c>
      <c r="F22" s="1448" t="s">
        <v>967</v>
      </c>
      <c r="G22" s="1560" t="s">
        <v>968</v>
      </c>
      <c r="H22" s="1560" t="s">
        <v>1001</v>
      </c>
      <c r="I22" s="1560" t="s">
        <v>1003</v>
      </c>
      <c r="J22" s="1560" t="s">
        <v>1004</v>
      </c>
      <c r="K22" s="1560" t="s">
        <v>1005</v>
      </c>
      <c r="L22" s="1560" t="s">
        <v>1006</v>
      </c>
      <c r="M22" s="1560" t="s">
        <v>968</v>
      </c>
      <c r="N22" s="1449" t="s">
        <v>969</v>
      </c>
      <c r="O22" s="1561" t="s">
        <v>970</v>
      </c>
      <c r="P22" s="1560" t="s">
        <v>968</v>
      </c>
      <c r="Q22" s="1449" t="s">
        <v>969</v>
      </c>
      <c r="R22" s="1561" t="s">
        <v>970</v>
      </c>
      <c r="S22" s="1560" t="s">
        <v>968</v>
      </c>
      <c r="T22" s="1449" t="s">
        <v>969</v>
      </c>
      <c r="U22" s="1561" t="s">
        <v>970</v>
      </c>
    </row>
    <row r="23" spans="2:21">
      <c r="B23" s="1450" t="s">
        <v>220</v>
      </c>
      <c r="C23" s="1451">
        <f>35*20.5</f>
        <v>717.5</v>
      </c>
      <c r="D23" s="1452">
        <f>32*20.5</f>
        <v>656</v>
      </c>
      <c r="E23" s="1452">
        <v>222</v>
      </c>
      <c r="F23" s="1452">
        <v>225</v>
      </c>
      <c r="G23" s="1573">
        <v>143</v>
      </c>
      <c r="H23" s="1573">
        <v>25</v>
      </c>
      <c r="I23" s="1573">
        <f t="shared" ref="I23:I28" si="8">(G23-H23)</f>
        <v>118</v>
      </c>
      <c r="J23" s="1573">
        <f t="shared" ref="J23:J28" si="9">(I23+G23)</f>
        <v>261</v>
      </c>
      <c r="K23" s="1573">
        <f t="shared" ref="K23:K28" si="10">(I23+G23*2)</f>
        <v>404</v>
      </c>
      <c r="L23" s="1573">
        <f t="shared" ref="L23:L28" si="11">(I23+G23*6)</f>
        <v>976</v>
      </c>
      <c r="M23" s="1575">
        <v>270</v>
      </c>
      <c r="N23" s="1453">
        <f t="shared" ref="N23:N28" si="12">(D23*M23)</f>
        <v>177120</v>
      </c>
      <c r="O23" s="1562">
        <f t="shared" ref="O23:O28" si="13">(F23*M23)</f>
        <v>60750</v>
      </c>
      <c r="P23" s="84">
        <v>400</v>
      </c>
      <c r="Q23" s="1453">
        <f>(D23*$P23)</f>
        <v>262400</v>
      </c>
      <c r="R23" s="1562">
        <f>(E23*$P23)</f>
        <v>88800</v>
      </c>
      <c r="S23" s="84">
        <v>980</v>
      </c>
      <c r="T23" s="1453">
        <f t="shared" ref="T23:T28" si="14">(D23*$S23)</f>
        <v>642880</v>
      </c>
      <c r="U23" s="1562">
        <f t="shared" ref="U23:U28" si="15">(F23*$S23)</f>
        <v>220500</v>
      </c>
    </row>
    <row r="24" spans="2:21">
      <c r="B24" s="1450" t="s">
        <v>221</v>
      </c>
      <c r="C24" s="1451">
        <f>51*20.5</f>
        <v>1045.5</v>
      </c>
      <c r="D24" s="1452">
        <f>46*20.5</f>
        <v>943</v>
      </c>
      <c r="E24" s="1452">
        <v>163</v>
      </c>
      <c r="F24" s="1452">
        <v>167</v>
      </c>
      <c r="G24" s="1573">
        <v>63</v>
      </c>
      <c r="H24" s="1573">
        <v>0</v>
      </c>
      <c r="I24" s="1573">
        <f t="shared" si="8"/>
        <v>63</v>
      </c>
      <c r="J24" s="1573">
        <f t="shared" si="9"/>
        <v>126</v>
      </c>
      <c r="K24" s="1573">
        <f t="shared" si="10"/>
        <v>189</v>
      </c>
      <c r="L24" s="1573">
        <f t="shared" si="11"/>
        <v>441</v>
      </c>
      <c r="M24" s="1575">
        <v>130</v>
      </c>
      <c r="N24" s="1453">
        <f t="shared" si="12"/>
        <v>122590</v>
      </c>
      <c r="O24" s="1562">
        <f t="shared" si="13"/>
        <v>21710</v>
      </c>
      <c r="P24" s="84">
        <v>190</v>
      </c>
      <c r="Q24" s="1453">
        <f>(D24*$P24)</f>
        <v>179170</v>
      </c>
      <c r="R24" s="1562">
        <f t="shared" ref="R24:R28" si="16">(E24*$P24)</f>
        <v>30970</v>
      </c>
      <c r="S24" s="84">
        <v>440</v>
      </c>
      <c r="T24" s="1453">
        <f t="shared" si="14"/>
        <v>414920</v>
      </c>
      <c r="U24" s="1562">
        <f t="shared" si="15"/>
        <v>73480</v>
      </c>
    </row>
    <row r="25" spans="2:21">
      <c r="B25" s="1450" t="s">
        <v>222</v>
      </c>
      <c r="C25" s="1451">
        <f>18*20.5</f>
        <v>369</v>
      </c>
      <c r="D25" s="1452">
        <f>(C25)</f>
        <v>369</v>
      </c>
      <c r="E25" s="1452">
        <v>1050</v>
      </c>
      <c r="F25" s="1452">
        <v>1050</v>
      </c>
      <c r="G25" s="1573">
        <v>80</v>
      </c>
      <c r="H25" s="1573">
        <v>35.902654867256643</v>
      </c>
      <c r="I25" s="1573">
        <f t="shared" si="8"/>
        <v>44.097345132743357</v>
      </c>
      <c r="J25" s="1573">
        <f t="shared" si="9"/>
        <v>124.09734513274336</v>
      </c>
      <c r="K25" s="1573">
        <f t="shared" si="10"/>
        <v>204.09734513274336</v>
      </c>
      <c r="L25" s="1573">
        <f t="shared" si="11"/>
        <v>524.09734513274338</v>
      </c>
      <c r="M25" s="1575">
        <v>130</v>
      </c>
      <c r="N25" s="1453">
        <f t="shared" si="12"/>
        <v>47970</v>
      </c>
      <c r="O25" s="1562">
        <f t="shared" si="13"/>
        <v>136500</v>
      </c>
      <c r="P25" s="84">
        <v>200</v>
      </c>
      <c r="Q25" s="1453">
        <f>(D25*$P25)</f>
        <v>73800</v>
      </c>
      <c r="R25" s="1562">
        <f t="shared" si="16"/>
        <v>210000</v>
      </c>
      <c r="S25" s="84">
        <v>520</v>
      </c>
      <c r="T25" s="1453">
        <f t="shared" si="14"/>
        <v>191880</v>
      </c>
      <c r="U25" s="1562">
        <f t="shared" si="15"/>
        <v>546000</v>
      </c>
    </row>
    <row r="26" spans="2:21">
      <c r="B26" s="1450" t="s">
        <v>223</v>
      </c>
      <c r="C26" s="1451">
        <f>20*20.5</f>
        <v>410</v>
      </c>
      <c r="D26" s="1452">
        <f>18*20.5</f>
        <v>369</v>
      </c>
      <c r="E26" s="1452">
        <v>913</v>
      </c>
      <c r="F26" s="1452">
        <v>918.48</v>
      </c>
      <c r="G26" s="1573">
        <v>63</v>
      </c>
      <c r="H26" s="1573">
        <v>70.813186813186803</v>
      </c>
      <c r="I26" s="1573">
        <f t="shared" si="8"/>
        <v>-7.8131868131868032</v>
      </c>
      <c r="J26" s="1573">
        <f t="shared" si="9"/>
        <v>55.186813186813197</v>
      </c>
      <c r="K26" s="1573">
        <f t="shared" si="10"/>
        <v>118.1868131868132</v>
      </c>
      <c r="L26" s="1573">
        <f t="shared" si="11"/>
        <v>370.1868131868132</v>
      </c>
      <c r="M26" s="1575">
        <v>60</v>
      </c>
      <c r="N26" s="1453">
        <f t="shared" si="12"/>
        <v>22140</v>
      </c>
      <c r="O26" s="1562">
        <f t="shared" si="13"/>
        <v>55108.800000000003</v>
      </c>
      <c r="P26" s="84">
        <v>120</v>
      </c>
      <c r="Q26" s="1453">
        <f>(D26*$P26)</f>
        <v>44280</v>
      </c>
      <c r="R26" s="1562">
        <f t="shared" si="16"/>
        <v>109560</v>
      </c>
      <c r="S26" s="84">
        <v>370</v>
      </c>
      <c r="T26" s="1453">
        <f t="shared" si="14"/>
        <v>136530</v>
      </c>
      <c r="U26" s="1562">
        <f t="shared" si="15"/>
        <v>339837.60000000003</v>
      </c>
    </row>
    <row r="27" spans="2:21">
      <c r="B27" s="1450" t="s">
        <v>224</v>
      </c>
      <c r="C27" s="1451">
        <f>28.5*20.15</f>
        <v>574.27499999999998</v>
      </c>
      <c r="D27" s="1452">
        <f>22.5*20.5</f>
        <v>461.25</v>
      </c>
      <c r="E27" s="1452">
        <v>585</v>
      </c>
      <c r="F27" s="1452">
        <v>594</v>
      </c>
      <c r="G27" s="1573">
        <v>56</v>
      </c>
      <c r="H27" s="1573">
        <v>35.990000000000009</v>
      </c>
      <c r="I27" s="1573">
        <f t="shared" si="8"/>
        <v>20.009999999999991</v>
      </c>
      <c r="J27" s="1573">
        <f t="shared" si="9"/>
        <v>76.009999999999991</v>
      </c>
      <c r="K27" s="1573">
        <f t="shared" si="10"/>
        <v>132.01</v>
      </c>
      <c r="L27" s="1573">
        <f t="shared" si="11"/>
        <v>356.01</v>
      </c>
      <c r="M27" s="1575">
        <v>80</v>
      </c>
      <c r="N27" s="1453">
        <f t="shared" si="12"/>
        <v>36900</v>
      </c>
      <c r="O27" s="1562">
        <f t="shared" si="13"/>
        <v>47520</v>
      </c>
      <c r="P27" s="84">
        <v>140</v>
      </c>
      <c r="Q27" s="1453">
        <f>(D27*$P27)</f>
        <v>64575</v>
      </c>
      <c r="R27" s="1562">
        <f t="shared" si="16"/>
        <v>81900</v>
      </c>
      <c r="S27" s="84">
        <v>360</v>
      </c>
      <c r="T27" s="1453">
        <f t="shared" si="14"/>
        <v>166050</v>
      </c>
      <c r="U27" s="1562">
        <f t="shared" si="15"/>
        <v>213840</v>
      </c>
    </row>
    <row r="28" spans="2:21" ht="15.75" thickBot="1">
      <c r="B28" s="1450" t="s">
        <v>226</v>
      </c>
      <c r="C28" s="1451">
        <f>101*20.5</f>
        <v>2070.5</v>
      </c>
      <c r="D28" s="1452">
        <f>78.5*20.5</f>
        <v>1609.25</v>
      </c>
      <c r="E28" s="1452">
        <v>1813.36</v>
      </c>
      <c r="F28" s="1452">
        <v>1813.36</v>
      </c>
      <c r="G28" s="1573">
        <v>63</v>
      </c>
      <c r="H28" s="1573">
        <v>0</v>
      </c>
      <c r="I28" s="1573">
        <f t="shared" si="8"/>
        <v>63</v>
      </c>
      <c r="J28" s="1573">
        <f t="shared" si="9"/>
        <v>126</v>
      </c>
      <c r="K28" s="1573">
        <f t="shared" si="10"/>
        <v>189</v>
      </c>
      <c r="L28" s="1573">
        <f t="shared" si="11"/>
        <v>441</v>
      </c>
      <c r="M28" s="1576">
        <v>130</v>
      </c>
      <c r="N28" s="1454">
        <f t="shared" si="12"/>
        <v>209202.5</v>
      </c>
      <c r="O28" s="1564">
        <f t="shared" si="13"/>
        <v>235736.8</v>
      </c>
      <c r="P28" s="84">
        <v>190</v>
      </c>
      <c r="Q28" s="1453">
        <f>(D28*$P28)</f>
        <v>305757.5</v>
      </c>
      <c r="R28" s="1562">
        <f t="shared" si="16"/>
        <v>344538.39999999997</v>
      </c>
      <c r="S28" s="84">
        <v>440</v>
      </c>
      <c r="T28" s="1453">
        <f t="shared" si="14"/>
        <v>708070</v>
      </c>
      <c r="U28" s="1562">
        <f t="shared" si="15"/>
        <v>797878.39999999991</v>
      </c>
    </row>
    <row r="29" spans="2:21" ht="21.75" customHeight="1" thickTop="1" thickBot="1">
      <c r="M29" s="1578">
        <f>SUM(M23:M28)</f>
        <v>800</v>
      </c>
      <c r="N29" s="1579">
        <f>SUM(N23:N28)</f>
        <v>615922.5</v>
      </c>
      <c r="O29" s="1580">
        <f>SUM(O23:O28)</f>
        <v>557325.6</v>
      </c>
      <c r="P29" s="1578">
        <f>SUM(P23:P28)</f>
        <v>1240</v>
      </c>
      <c r="Q29" s="1579">
        <f t="shared" ref="Q29:U29" si="17">SUM(Q23:Q28)</f>
        <v>929982.5</v>
      </c>
      <c r="R29" s="1580">
        <f t="shared" si="17"/>
        <v>865768.39999999991</v>
      </c>
      <c r="S29" s="1578">
        <f t="shared" si="17"/>
        <v>3110</v>
      </c>
      <c r="T29" s="1566">
        <f t="shared" si="17"/>
        <v>2260330</v>
      </c>
      <c r="U29" s="1567">
        <f t="shared" si="17"/>
        <v>2191536</v>
      </c>
    </row>
    <row r="30" spans="2:21">
      <c r="M30" s="77"/>
      <c r="N30" s="1455">
        <f>(N29-O29)/O29</f>
        <v>0.10513943734147511</v>
      </c>
      <c r="O30" s="77"/>
      <c r="P30" s="77"/>
      <c r="Q30" s="1455">
        <f>(Q29-R29)/R29</f>
        <v>7.4170066729162321E-2</v>
      </c>
      <c r="R30" s="77"/>
      <c r="S30" s="77"/>
      <c r="T30" s="1455">
        <f>(T29-U29)/U29</f>
        <v>3.1390768848880417E-2</v>
      </c>
      <c r="U30" s="77"/>
    </row>
  </sheetData>
  <mergeCells count="2">
    <mergeCell ref="D13:U13"/>
    <mergeCell ref="D15:U15"/>
  </mergeCells>
  <pageMargins left="0.70866141732283472" right="0.70866141732283472" top="0.74803149606299213" bottom="0.74803149606299213" header="0.31496062992125984" footer="0.31496062992125984"/>
  <pageSetup paperSize="9" scale="120" fitToWidth="0" orientation="portrait" horizontalDpi="1200" verticalDpi="12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BE98-7922-4F18-BC2F-94444DB9B18D}">
  <sheetPr>
    <pageSetUpPr fitToPage="1"/>
  </sheetPr>
  <dimension ref="A1:BF25"/>
  <sheetViews>
    <sheetView topLeftCell="U1" zoomScale="70" zoomScaleNormal="70" workbookViewId="0">
      <pane xSplit="3" ySplit="7" topLeftCell="X8" activePane="bottomRight" state="frozen"/>
      <selection activeCell="U1" sqref="U1"/>
      <selection pane="topRight" activeCell="X1" sqref="X1"/>
      <selection pane="bottomLeft" activeCell="U8" sqref="U8"/>
      <selection pane="bottomRight" activeCell="AF27" sqref="AF27"/>
    </sheetView>
  </sheetViews>
  <sheetFormatPr baseColWidth="10" defaultRowHeight="15"/>
  <cols>
    <col min="1" max="1" width="17.28515625" bestFit="1" customWidth="1"/>
    <col min="2" max="2" width="4.5703125" customWidth="1"/>
    <col min="3" max="3" width="13.85546875" customWidth="1"/>
    <col min="4" max="4" width="9.85546875" bestFit="1" customWidth="1"/>
    <col min="5" max="6" width="8.28515625" bestFit="1" customWidth="1"/>
    <col min="7" max="7" width="7.5703125" customWidth="1"/>
    <col min="8" max="8" width="9.85546875" bestFit="1" customWidth="1"/>
    <col min="9" max="9" width="8.28515625" bestFit="1" customWidth="1"/>
    <col min="10" max="10" width="11.5703125" bestFit="1" customWidth="1"/>
    <col min="11" max="11" width="8.7109375" bestFit="1" customWidth="1"/>
    <col min="12" max="12" width="14.140625" bestFit="1" customWidth="1"/>
    <col min="13" max="13" width="8.7109375" bestFit="1" customWidth="1"/>
    <col min="14" max="14" width="12.5703125" bestFit="1" customWidth="1"/>
    <col min="15" max="15" width="8.7109375" bestFit="1" customWidth="1"/>
    <col min="16" max="16" width="14.140625" bestFit="1" customWidth="1"/>
    <col min="17" max="17" width="8.28515625" bestFit="1" customWidth="1"/>
    <col min="18" max="18" width="12.5703125" bestFit="1" customWidth="1"/>
    <col min="19" max="19" width="7.7109375" bestFit="1" customWidth="1"/>
    <col min="21" max="21" width="12.85546875" customWidth="1"/>
    <col min="22" max="22" width="2.5703125" hidden="1" customWidth="1"/>
    <col min="23" max="23" width="13.85546875" customWidth="1"/>
    <col min="24" max="24" width="13.140625" customWidth="1"/>
    <col min="25" max="26" width="8.28515625" bestFit="1" customWidth="1"/>
    <col min="27" max="27" width="11.85546875" customWidth="1"/>
    <col min="28" max="28" width="9.85546875" bestFit="1" customWidth="1"/>
    <col min="29" max="29" width="8.28515625" bestFit="1" customWidth="1"/>
    <col min="30" max="30" width="11.5703125" bestFit="1" customWidth="1"/>
    <col min="31" max="31" width="10" customWidth="1"/>
    <col min="32" max="32" width="14.42578125" customWidth="1"/>
    <col min="33" max="33" width="8.28515625" customWidth="1"/>
    <col min="34" max="34" width="11.42578125" customWidth="1"/>
    <col min="35" max="35" width="13.7109375" customWidth="1"/>
    <col min="36" max="36" width="13.85546875" customWidth="1"/>
    <col min="37" max="37" width="8.28515625" bestFit="1" customWidth="1"/>
    <col min="38" max="38" width="12.5703125" bestFit="1" customWidth="1"/>
    <col min="39" max="39" width="7.7109375" bestFit="1" customWidth="1"/>
    <col min="42" max="42" width="20.5703125" customWidth="1"/>
    <col min="43" max="43" width="8.85546875" bestFit="1" customWidth="1"/>
    <col min="44" max="44" width="9.28515625" customWidth="1"/>
    <col min="45" max="45" width="7.42578125" bestFit="1" customWidth="1"/>
    <col min="46" max="46" width="10" customWidth="1"/>
    <col min="47" max="47" width="7.140625" bestFit="1" customWidth="1"/>
    <col min="48" max="48" width="11.140625" customWidth="1"/>
    <col min="49" max="49" width="7.42578125" bestFit="1" customWidth="1"/>
    <col min="50" max="50" width="8" customWidth="1"/>
    <col min="51" max="51" width="13.5703125" customWidth="1"/>
    <col min="52" max="52" width="7.28515625" bestFit="1" customWidth="1"/>
    <col min="53" max="53" width="12" bestFit="1" customWidth="1"/>
    <col min="54" max="54" width="8.5703125" bestFit="1" customWidth="1"/>
    <col min="55" max="55" width="13.5703125" bestFit="1" customWidth="1"/>
    <col min="56" max="56" width="8.140625" bestFit="1" customWidth="1"/>
    <col min="57" max="57" width="12" bestFit="1" customWidth="1"/>
    <col min="58" max="58" width="8.140625" bestFit="1" customWidth="1"/>
  </cols>
  <sheetData>
    <row r="1" spans="1:58">
      <c r="B1" s="1418"/>
      <c r="C1" s="1086" t="s">
        <v>947</v>
      </c>
      <c r="D1" s="1418">
        <f>45</f>
        <v>45</v>
      </c>
      <c r="E1" s="1418"/>
      <c r="F1" s="1069">
        <v>11.999999999999998</v>
      </c>
      <c r="G1" s="1418"/>
      <c r="H1" s="1418"/>
      <c r="V1" s="1418"/>
      <c r="W1" s="1086" t="s">
        <v>947</v>
      </c>
      <c r="X1" s="1523">
        <f>('Inv Fisico S20'!Q9)</f>
        <v>36.285714285714285</v>
      </c>
      <c r="Y1" s="1418"/>
      <c r="Z1" s="1069"/>
      <c r="AA1" s="1529">
        <f>(X3/1.4)</f>
        <v>42.364285714285721</v>
      </c>
      <c r="AB1" s="1418"/>
      <c r="AE1" s="1529">
        <f>(AB3+AD3)/1.4</f>
        <v>10.564285714285715</v>
      </c>
      <c r="AI1" s="1529">
        <f>(AH3+U16)/1.4</f>
        <v>6827.3428571428658</v>
      </c>
      <c r="AL1" s="1529">
        <f>(AL3+AJ12+AL12)/1.4</f>
        <v>987.6642857142856</v>
      </c>
    </row>
    <row r="2" spans="1:58">
      <c r="B2" s="1418"/>
      <c r="C2" s="1086" t="s">
        <v>906</v>
      </c>
      <c r="D2" s="1418"/>
      <c r="E2" s="1418"/>
      <c r="F2" s="1069"/>
      <c r="G2" s="1418"/>
      <c r="H2" s="1419">
        <v>11</v>
      </c>
      <c r="V2" s="1418"/>
      <c r="W2" s="1086" t="s">
        <v>906</v>
      </c>
      <c r="X2" s="1418"/>
      <c r="Y2" s="1418"/>
      <c r="Z2" s="1069"/>
      <c r="AA2" s="1418"/>
      <c r="AB2" s="1419"/>
    </row>
    <row r="3" spans="1:58">
      <c r="B3" s="1418"/>
      <c r="C3" s="1086" t="s">
        <v>907</v>
      </c>
      <c r="D3" s="1419">
        <v>19.2</v>
      </c>
      <c r="E3" s="1418"/>
      <c r="F3" s="1419">
        <v>36.799999999999997</v>
      </c>
      <c r="G3" s="1418"/>
      <c r="H3" s="1419">
        <v>224.2</v>
      </c>
      <c r="V3" s="1418"/>
      <c r="W3" s="1086" t="s">
        <v>907</v>
      </c>
      <c r="X3" s="1537">
        <f>SUM('Inv Fisico S20'!G10:G13)+'Inv Fisico S20'!K14</f>
        <v>59.31</v>
      </c>
      <c r="Y3" s="1524">
        <f>COUNT('Inv Fisico S20'!G10:G13,'Inv Fisico S20'!K14)</f>
        <v>5</v>
      </c>
      <c r="Z3" s="1419"/>
      <c r="AA3" s="1418"/>
      <c r="AB3" s="1537">
        <f>('Inv Fisico S20'!K15)</f>
        <v>2.54</v>
      </c>
      <c r="AC3" s="1524">
        <f>COUNT('Inv Fisico S20'!K15)</f>
        <v>1</v>
      </c>
      <c r="AD3" s="1537">
        <f>SUM('Inv Fisico S20'!J16:J21)</f>
        <v>12.25</v>
      </c>
      <c r="AE3" s="1524">
        <f>COUNT('Inv Fisico S20'!J16:J21)</f>
        <v>6</v>
      </c>
      <c r="AF3" s="1419"/>
      <c r="AG3" s="1524"/>
      <c r="AH3" s="1537">
        <f>SUM('Inv Fisico S20'!H22:H33)+SUM('Inv Fisico S20'!J34:J43)</f>
        <v>52.620000000000005</v>
      </c>
      <c r="AI3" s="1524">
        <f>COUNT('Inv Fisico S20'!H22:H33,'Inv Fisico S20'!J34:J43)</f>
        <v>22</v>
      </c>
      <c r="AL3" s="1537">
        <f>('Inv Fisico S20'!H44+'Inv Fisico S20'!J54+'Inv Fisico S20'!J64+'Inv Fisico S20'!J65)</f>
        <v>29.72</v>
      </c>
      <c r="AM3" s="1524">
        <f>COUNT('Inv Fisico S20'!H44,'Inv Fisico S20'!J54,'Inv Fisico S20'!J64,'Inv Fisico S20'!J65)</f>
        <v>4</v>
      </c>
    </row>
    <row r="4" spans="1:58" ht="15.75" thickBot="1">
      <c r="C4" s="1293">
        <v>45367</v>
      </c>
      <c r="W4" s="1293">
        <v>45443</v>
      </c>
    </row>
    <row r="5" spans="1:58" ht="21.75" thickBot="1">
      <c r="C5" s="1299" t="s">
        <v>901</v>
      </c>
      <c r="D5" s="1300"/>
      <c r="E5" s="1300"/>
      <c r="F5" s="1300"/>
      <c r="G5" s="1300"/>
      <c r="H5" s="1300"/>
      <c r="I5" s="1300"/>
      <c r="J5" s="1300"/>
      <c r="K5" s="1300"/>
      <c r="L5" s="1300"/>
      <c r="M5" s="1300"/>
      <c r="N5" s="1300"/>
      <c r="O5" s="1300"/>
      <c r="P5" s="1300"/>
      <c r="Q5" s="1300"/>
      <c r="R5" s="1300"/>
      <c r="S5" s="1300"/>
      <c r="U5" s="1437">
        <f>(U14+X1)</f>
        <v>1114.4642857142856</v>
      </c>
      <c r="W5" s="1520" t="s">
        <v>987</v>
      </c>
      <c r="X5" s="1521"/>
      <c r="Y5" s="1521"/>
      <c r="Z5" s="1521"/>
      <c r="AA5" s="1521"/>
      <c r="AB5" s="1521"/>
      <c r="AC5" s="1521"/>
      <c r="AD5" s="1521"/>
      <c r="AE5" s="1521"/>
      <c r="AF5" s="1521"/>
      <c r="AG5" s="1521"/>
      <c r="AH5" s="1521"/>
      <c r="AI5" s="1521"/>
      <c r="AJ5" s="1521"/>
      <c r="AK5" s="1521"/>
      <c r="AL5" s="1521"/>
      <c r="AM5" s="1521"/>
      <c r="AP5" s="1780">
        <v>45413</v>
      </c>
      <c r="AQ5" s="1781"/>
      <c r="AR5" s="1781"/>
      <c r="AS5" s="1781"/>
      <c r="AT5" s="1781"/>
      <c r="AU5" s="1781"/>
      <c r="AV5" s="1781"/>
      <c r="AW5" s="1781"/>
      <c r="AX5" s="1781"/>
      <c r="AY5" s="1782"/>
      <c r="AZ5" s="1782"/>
      <c r="BA5" s="1782"/>
      <c r="BB5" s="1782"/>
      <c r="BC5" s="1782"/>
      <c r="BD5" s="1782"/>
      <c r="BE5" s="1782"/>
      <c r="BF5" s="1783"/>
    </row>
    <row r="6" spans="1:58" ht="15.75" thickBot="1">
      <c r="C6" s="1771" t="s">
        <v>902</v>
      </c>
      <c r="D6" s="1301">
        <v>2021</v>
      </c>
      <c r="E6" s="1314"/>
      <c r="F6" s="1302"/>
      <c r="G6" s="1303"/>
      <c r="H6" s="1301">
        <v>2022</v>
      </c>
      <c r="I6" s="1302"/>
      <c r="J6" s="1302"/>
      <c r="K6" s="1303"/>
      <c r="L6" s="1314">
        <v>2023</v>
      </c>
      <c r="M6" s="1329"/>
      <c r="N6" s="1303"/>
      <c r="O6" s="1329"/>
      <c r="P6" s="1314">
        <v>2024</v>
      </c>
      <c r="Q6" s="1329"/>
      <c r="R6" s="1303"/>
      <c r="S6" s="1329"/>
      <c r="W6" s="1771" t="s">
        <v>902</v>
      </c>
      <c r="X6" s="1301">
        <v>2021</v>
      </c>
      <c r="Y6" s="1314"/>
      <c r="Z6" s="1302"/>
      <c r="AA6" s="1303"/>
      <c r="AB6" s="1301">
        <v>2022</v>
      </c>
      <c r="AC6" s="1302"/>
      <c r="AD6" s="1302"/>
      <c r="AE6" s="1303"/>
      <c r="AF6" s="1301">
        <v>2023</v>
      </c>
      <c r="AG6" s="1329"/>
      <c r="AH6" s="1303"/>
      <c r="AI6" s="1303"/>
      <c r="AJ6" s="1301">
        <v>2024</v>
      </c>
      <c r="AK6" s="1329"/>
      <c r="AL6" s="1303"/>
      <c r="AM6" s="1303"/>
      <c r="AP6" s="1784" t="s">
        <v>902</v>
      </c>
      <c r="AQ6" s="1786">
        <v>2021</v>
      </c>
      <c r="AR6" s="1787"/>
      <c r="AS6" s="1787"/>
      <c r="AT6" s="1788"/>
      <c r="AU6" s="1789">
        <v>2022</v>
      </c>
      <c r="AV6" s="1790"/>
      <c r="AW6" s="1790"/>
      <c r="AX6" s="1791"/>
      <c r="AY6" s="1786">
        <v>2023</v>
      </c>
      <c r="AZ6" s="1787"/>
      <c r="BA6" s="1787"/>
      <c r="BB6" s="1792"/>
      <c r="BC6" s="1793">
        <v>2024</v>
      </c>
      <c r="BD6" s="1794"/>
      <c r="BE6" s="1794"/>
      <c r="BF6" s="1795"/>
    </row>
    <row r="7" spans="1:58" ht="15.75" thickBot="1">
      <c r="B7" s="1288"/>
      <c r="C7" s="1772"/>
      <c r="D7" s="1332" t="s">
        <v>910</v>
      </c>
      <c r="E7" s="1315"/>
      <c r="F7" s="1315" t="s">
        <v>911</v>
      </c>
      <c r="G7" s="1333"/>
      <c r="H7" s="1763" t="s">
        <v>910</v>
      </c>
      <c r="I7" s="1764"/>
      <c r="J7" s="1765" t="s">
        <v>911</v>
      </c>
      <c r="K7" s="1766"/>
      <c r="L7" s="1803" t="s">
        <v>910</v>
      </c>
      <c r="M7" s="1764"/>
      <c r="N7" s="1765" t="s">
        <v>911</v>
      </c>
      <c r="O7" s="1764"/>
      <c r="P7" s="1803" t="s">
        <v>910</v>
      </c>
      <c r="Q7" s="1764"/>
      <c r="R7" s="1765" t="s">
        <v>911</v>
      </c>
      <c r="S7" s="1764"/>
      <c r="V7" s="1288"/>
      <c r="W7" s="1772"/>
      <c r="X7" s="1332" t="s">
        <v>910</v>
      </c>
      <c r="Y7" s="1315"/>
      <c r="Z7" s="1315" t="s">
        <v>911</v>
      </c>
      <c r="AA7" s="1333"/>
      <c r="AB7" s="1763" t="s">
        <v>910</v>
      </c>
      <c r="AC7" s="1764"/>
      <c r="AD7" s="1765" t="s">
        <v>911</v>
      </c>
      <c r="AE7" s="1766"/>
      <c r="AF7" s="1763" t="s">
        <v>910</v>
      </c>
      <c r="AG7" s="1764"/>
      <c r="AH7" s="1765" t="s">
        <v>911</v>
      </c>
      <c r="AI7" s="1766"/>
      <c r="AJ7" s="1763" t="s">
        <v>910</v>
      </c>
      <c r="AK7" s="1764"/>
      <c r="AL7" s="1765" t="s">
        <v>911</v>
      </c>
      <c r="AM7" s="1766"/>
      <c r="AP7" s="1785"/>
      <c r="AQ7" s="1796" t="s">
        <v>910</v>
      </c>
      <c r="AR7" s="1797"/>
      <c r="AS7" s="1796" t="s">
        <v>911</v>
      </c>
      <c r="AT7" s="1798"/>
      <c r="AU7" s="1796" t="s">
        <v>910</v>
      </c>
      <c r="AV7" s="1799"/>
      <c r="AW7" s="1799" t="s">
        <v>911</v>
      </c>
      <c r="AX7" s="1797"/>
      <c r="AY7" s="1796" t="s">
        <v>910</v>
      </c>
      <c r="AZ7" s="1799"/>
      <c r="BA7" s="1799" t="s">
        <v>911</v>
      </c>
      <c r="BB7" s="1797"/>
      <c r="BC7" s="1800" t="s">
        <v>910</v>
      </c>
      <c r="BD7" s="1801"/>
      <c r="BE7" s="1801" t="s">
        <v>911</v>
      </c>
      <c r="BF7" s="1802"/>
    </row>
    <row r="8" spans="1:58">
      <c r="C8" s="1289" t="s">
        <v>903</v>
      </c>
      <c r="D8" s="1319">
        <f>SUM('Inv Fisico'!K47:K49)</f>
        <v>210</v>
      </c>
      <c r="E8" s="1316">
        <f>COUNT('Inv Fisico'!K47:K49)</f>
        <v>3</v>
      </c>
      <c r="F8" s="1309"/>
      <c r="G8" s="1334"/>
      <c r="H8" s="1319">
        <f>SUM('Inv Fisico'!K128:K141)</f>
        <v>955.59999999999991</v>
      </c>
      <c r="I8" s="1316">
        <f>COUNT('Inv Fisico'!K128:K141)</f>
        <v>14</v>
      </c>
      <c r="J8" s="1309">
        <f>SUM('Inv Fisico'!J93:J127)</f>
        <v>2476.3199999999993</v>
      </c>
      <c r="K8" s="1334">
        <f>COUNT('Inv Fisico'!J93:J127)</f>
        <v>35</v>
      </c>
      <c r="L8" s="1337">
        <f>SUM('Inv Fisico'!K210:K235)</f>
        <v>1832.84</v>
      </c>
      <c r="M8" s="1316">
        <f>COUNT('Inv Fisico'!K210:K235)</f>
        <v>26</v>
      </c>
      <c r="N8" s="1309">
        <f>SUM('Inv Fisico'!J156:J209)</f>
        <v>3765.9599999999991</v>
      </c>
      <c r="O8" s="1316">
        <f>COUNT('Inv Fisico'!J156:J209)</f>
        <v>54</v>
      </c>
      <c r="P8" s="1337">
        <f>SUM('Inv Fisico'!K238:K247)</f>
        <v>641.15999999999985</v>
      </c>
      <c r="Q8" s="1316">
        <f>COUNT('Inv Fisico'!K238:K247)</f>
        <v>9</v>
      </c>
      <c r="R8" s="1309">
        <f>SUM('Inv Fisico'!J246:J254)</f>
        <v>562.52</v>
      </c>
      <c r="S8" s="1316">
        <f>COUNT('Inv Fisico'!J246:J254)</f>
        <v>8</v>
      </c>
      <c r="U8" s="1529">
        <f>(AJ8+AL8)/1.4</f>
        <v>860.72857142857129</v>
      </c>
      <c r="W8" s="1289" t="s">
        <v>903</v>
      </c>
      <c r="X8" s="1319"/>
      <c r="Y8" s="1316"/>
      <c r="Z8" s="1309"/>
      <c r="AA8" s="1334"/>
      <c r="AB8" s="1319"/>
      <c r="AC8" s="1316"/>
      <c r="AD8" s="1309"/>
      <c r="AE8" s="1334"/>
      <c r="AF8" s="1525"/>
      <c r="AG8" s="1316"/>
      <c r="AH8" s="1309"/>
      <c r="AI8" s="1334"/>
      <c r="AJ8" s="1525">
        <f>SUM('Inv Fisico S20'!K46:K54)</f>
        <v>641.15999999999985</v>
      </c>
      <c r="AK8" s="1316">
        <f>COUNT('Inv Fisico S20'!K46:K54)</f>
        <v>9</v>
      </c>
      <c r="AL8" s="1534">
        <f>SUM('Inv Fisico S20'!J55:J63)</f>
        <v>563.8599999999999</v>
      </c>
      <c r="AM8" s="1334">
        <f>COUNT('Inv Fisico S20'!J55:J63)</f>
        <v>8</v>
      </c>
      <c r="AP8" s="1483" t="s">
        <v>903</v>
      </c>
      <c r="AQ8" s="1511"/>
      <c r="AR8" s="1512"/>
      <c r="AS8" s="1513"/>
      <c r="AT8" s="1514"/>
      <c r="AU8" s="1511"/>
      <c r="AV8" s="1512"/>
      <c r="AW8" s="1515"/>
      <c r="AX8" s="1516"/>
      <c r="AY8" s="1511"/>
      <c r="AZ8" s="1512"/>
      <c r="BA8" s="1515"/>
      <c r="BB8" s="1516"/>
      <c r="BC8" s="1517">
        <f>(AJ8/1.4)</f>
        <v>457.97142857142848</v>
      </c>
      <c r="BD8" s="1512">
        <f>(AK8)</f>
        <v>9</v>
      </c>
      <c r="BE8" s="1518">
        <f>(AL8/1.4)</f>
        <v>402.75714285714281</v>
      </c>
      <c r="BF8" s="1516">
        <f>(AM8)</f>
        <v>8</v>
      </c>
    </row>
    <row r="9" spans="1:58">
      <c r="C9" s="1290" t="s">
        <v>904</v>
      </c>
      <c r="D9" s="1320"/>
      <c r="E9" s="1317"/>
      <c r="F9" s="1310"/>
      <c r="G9" s="1335"/>
      <c r="H9" s="1320"/>
      <c r="I9" s="1317"/>
      <c r="J9" s="1310"/>
      <c r="K9" s="1335"/>
      <c r="L9" s="1338"/>
      <c r="M9" s="1317"/>
      <c r="N9" s="1310">
        <f>SUM('Inv Fisico'!H142:H155)</f>
        <v>376.5</v>
      </c>
      <c r="O9" s="1317">
        <f>COUNT('Inv Fisico'!H142:H155)</f>
        <v>14</v>
      </c>
      <c r="P9" s="1338">
        <f>'Inv Fisico'!I236</f>
        <v>30.26</v>
      </c>
      <c r="Q9" s="1317">
        <f>COUNT('Inv Fisico'!I236)</f>
        <v>1</v>
      </c>
      <c r="R9" s="1310">
        <f>SUM('Inv Fisico'!H236:H238)</f>
        <v>86</v>
      </c>
      <c r="S9" s="1317">
        <f>COUNT('Inv Fisico'!H236:H238)</f>
        <v>3</v>
      </c>
      <c r="U9" s="1529">
        <f>(AJ9+AL9)/1.4</f>
        <v>47.778571428571432</v>
      </c>
      <c r="W9" s="1290" t="s">
        <v>904</v>
      </c>
      <c r="X9" s="1320"/>
      <c r="Y9" s="1317"/>
      <c r="Z9" s="1310"/>
      <c r="AA9" s="1335"/>
      <c r="AB9" s="1320"/>
      <c r="AC9" s="1317"/>
      <c r="AD9" s="1310"/>
      <c r="AE9" s="1335"/>
      <c r="AF9" s="1526"/>
      <c r="AG9" s="1317"/>
      <c r="AH9" s="1310"/>
      <c r="AI9" s="1335"/>
      <c r="AJ9" s="1526">
        <f>SUM('Inv Fisico S20'!I44)</f>
        <v>30.26</v>
      </c>
      <c r="AK9" s="1317">
        <f>COUNT('Inv Fisico S20'!I44)</f>
        <v>1</v>
      </c>
      <c r="AL9" s="1535">
        <f>SUM('Inv Fisico S20'!H45:H46)</f>
        <v>36.630000000000003</v>
      </c>
      <c r="AM9" s="1335">
        <f>COUNT('Inv Fisico S20'!H45:H46)</f>
        <v>2</v>
      </c>
      <c r="AP9" s="1484" t="s">
        <v>904</v>
      </c>
      <c r="AQ9" s="1499"/>
      <c r="AR9" s="1496"/>
      <c r="AS9" s="1500"/>
      <c r="AT9" s="1501"/>
      <c r="AU9" s="1499"/>
      <c r="AV9" s="1500"/>
      <c r="AW9" s="1500"/>
      <c r="AX9" s="1501"/>
      <c r="AY9" s="1499"/>
      <c r="AZ9" s="1500"/>
      <c r="BA9" s="1497"/>
      <c r="BB9" s="1498"/>
      <c r="BC9" s="1508">
        <f>(AJ9/1.4)</f>
        <v>21.614285714285717</v>
      </c>
      <c r="BD9" s="1496">
        <f>(AK9)</f>
        <v>1</v>
      </c>
      <c r="BE9" s="1502">
        <f>(AL9/1.4)</f>
        <v>26.164285714285718</v>
      </c>
      <c r="BF9" s="1498">
        <f>(AM9)</f>
        <v>2</v>
      </c>
    </row>
    <row r="10" spans="1:58">
      <c r="A10" s="1437">
        <f>(P13/1.4)</f>
        <v>942.81428571428569</v>
      </c>
      <c r="C10" s="1291" t="s">
        <v>905</v>
      </c>
      <c r="D10" s="1321">
        <f>SUM('Inv Fisico'!G29:G44)</f>
        <v>390.64000000000004</v>
      </c>
      <c r="E10" s="1317">
        <f>COUNT('Inv Fisico'!G29:G44)</f>
        <v>16</v>
      </c>
      <c r="F10" s="1311">
        <f>SUM('Inv Fisico'!F45:F46)</f>
        <v>51.36</v>
      </c>
      <c r="G10" s="1335">
        <f>COUNT('Inv Fisico'!F45:F46)</f>
        <v>2</v>
      </c>
      <c r="H10" s="1340"/>
      <c r="I10" s="1317"/>
      <c r="J10" s="1312"/>
      <c r="K10" s="1335"/>
      <c r="L10" s="1339"/>
      <c r="M10" s="1317"/>
      <c r="N10" s="1312"/>
      <c r="O10" s="1317"/>
      <c r="P10" s="1339"/>
      <c r="Q10" s="1317"/>
      <c r="R10" s="1312"/>
      <c r="S10" s="1317"/>
      <c r="U10" s="1529">
        <f>(AL10)/1.4</f>
        <v>57.928571428571431</v>
      </c>
      <c r="W10" s="1291" t="s">
        <v>905</v>
      </c>
      <c r="X10" s="1321"/>
      <c r="Y10" s="1317"/>
      <c r="Z10" s="1311"/>
      <c r="AA10" s="1335"/>
      <c r="AB10" s="1340"/>
      <c r="AC10" s="1317"/>
      <c r="AD10" s="1312"/>
      <c r="AE10" s="1335"/>
      <c r="AF10" s="1527"/>
      <c r="AG10" s="1317"/>
      <c r="AH10" s="1312"/>
      <c r="AI10" s="1335"/>
      <c r="AJ10" s="1527"/>
      <c r="AK10" s="1317"/>
      <c r="AL10" s="1536">
        <f>SUM('Inv Fisico S20'!F62:F66)</f>
        <v>81.099999999999994</v>
      </c>
      <c r="AM10" s="1335">
        <f>COUNT('Inv Fisico S20'!F62:F66)</f>
        <v>2</v>
      </c>
      <c r="AP10" s="1485" t="s">
        <v>905</v>
      </c>
      <c r="AQ10" s="1495"/>
      <c r="AR10" s="1496"/>
      <c r="AS10" s="1497"/>
      <c r="AT10" s="1498"/>
      <c r="AU10" s="1499"/>
      <c r="AV10" s="1500"/>
      <c r="AW10" s="1500"/>
      <c r="AX10" s="1501"/>
      <c r="AY10" s="1499"/>
      <c r="AZ10" s="1500"/>
      <c r="BA10" s="1500"/>
      <c r="BB10" s="1501"/>
      <c r="BC10" s="1509"/>
      <c r="BD10" s="1500"/>
      <c r="BE10" s="1502">
        <f>(AL10/1.4)</f>
        <v>57.928571428571431</v>
      </c>
      <c r="BF10" s="1498">
        <f>(AM10)</f>
        <v>2</v>
      </c>
    </row>
    <row r="11" spans="1:58" ht="15.75" thickBot="1">
      <c r="A11" s="1437">
        <f>(L13/1.4)</f>
        <v>4268.0714285714284</v>
      </c>
      <c r="C11" s="1292" t="s">
        <v>908</v>
      </c>
      <c r="D11" s="1322"/>
      <c r="E11" s="1323"/>
      <c r="F11" s="1324"/>
      <c r="G11" s="1336"/>
      <c r="H11" s="1341"/>
      <c r="I11" s="1323"/>
      <c r="J11" s="1324"/>
      <c r="K11" s="1336"/>
      <c r="L11" s="1331"/>
      <c r="M11" s="1323"/>
      <c r="N11" s="1330"/>
      <c r="O11" s="1323"/>
      <c r="P11" s="1331"/>
      <c r="Q11" s="1323"/>
      <c r="R11" s="1330"/>
      <c r="S11" s="1323"/>
      <c r="U11" s="1437"/>
      <c r="W11" s="1292" t="s">
        <v>908</v>
      </c>
      <c r="X11" s="1322"/>
      <c r="Y11" s="1323"/>
      <c r="Z11" s="1324"/>
      <c r="AA11" s="1336"/>
      <c r="AB11" s="1341"/>
      <c r="AC11" s="1323"/>
      <c r="AD11" s="1324"/>
      <c r="AE11" s="1336"/>
      <c r="AF11" s="1341"/>
      <c r="AG11" s="1323"/>
      <c r="AH11" s="1330"/>
      <c r="AI11" s="1336"/>
      <c r="AJ11" s="1341"/>
      <c r="AK11" s="1323"/>
      <c r="AL11" s="1330"/>
      <c r="AM11" s="1336"/>
      <c r="AP11" s="1485" t="s">
        <v>906</v>
      </c>
      <c r="AQ11" s="1499"/>
      <c r="AR11" s="1496"/>
      <c r="AS11" s="1500"/>
      <c r="AT11" s="1501"/>
      <c r="AU11" s="1495"/>
      <c r="AV11" s="1500"/>
      <c r="AW11" s="1500"/>
      <c r="AX11" s="1501"/>
      <c r="AY11" s="1499"/>
      <c r="AZ11" s="1500"/>
      <c r="BA11" s="1500"/>
      <c r="BB11" s="1501"/>
      <c r="BC11" s="1509"/>
      <c r="BD11" s="1500"/>
      <c r="BE11" s="1500"/>
      <c r="BF11" s="1501"/>
    </row>
    <row r="12" spans="1:58" ht="15.75" thickBot="1">
      <c r="A12" s="1438">
        <f>(H13/1.4)+H2+H3</f>
        <v>2686.571428571428</v>
      </c>
      <c r="C12" t="s">
        <v>909</v>
      </c>
      <c r="D12" s="1313">
        <f t="shared" ref="D12:S12" si="0">SUM(D8:D11)</f>
        <v>600.6400000000001</v>
      </c>
      <c r="E12" s="1325">
        <f t="shared" si="0"/>
        <v>19</v>
      </c>
      <c r="F12" s="1313">
        <f t="shared" si="0"/>
        <v>51.36</v>
      </c>
      <c r="G12" s="1325">
        <f t="shared" si="0"/>
        <v>2</v>
      </c>
      <c r="H12" s="1318">
        <f>SUM(H8:H11)</f>
        <v>955.59999999999991</v>
      </c>
      <c r="I12" s="1325">
        <f>SUM(I8:I11)</f>
        <v>14</v>
      </c>
      <c r="J12" s="1318">
        <f>SUM(J8:J11)</f>
        <v>2476.3199999999993</v>
      </c>
      <c r="K12" s="1325">
        <f>SUM(K8:K11)</f>
        <v>35</v>
      </c>
      <c r="L12" s="1318">
        <f t="shared" si="0"/>
        <v>1832.84</v>
      </c>
      <c r="M12" s="1325">
        <f>SUM(M8:M11)</f>
        <v>26</v>
      </c>
      <c r="N12" s="1318">
        <f t="shared" si="0"/>
        <v>4142.4599999999991</v>
      </c>
      <c r="O12" s="1325">
        <f>SUM(O8:O11)</f>
        <v>68</v>
      </c>
      <c r="P12" s="1318">
        <f t="shared" si="0"/>
        <v>671.41999999999985</v>
      </c>
      <c r="Q12" s="1325">
        <f t="shared" si="0"/>
        <v>10</v>
      </c>
      <c r="R12" s="1318">
        <f t="shared" si="0"/>
        <v>648.52</v>
      </c>
      <c r="S12" s="1325">
        <f t="shared" si="0"/>
        <v>11</v>
      </c>
      <c r="U12" s="1438">
        <f>SUM(U8:U11)</f>
        <v>966.4357142857142</v>
      </c>
      <c r="W12" t="s">
        <v>909</v>
      </c>
      <c r="X12" s="1313">
        <f t="shared" ref="X12:AA12" si="1">SUM(X8:X11)</f>
        <v>0</v>
      </c>
      <c r="Y12" s="1325">
        <f t="shared" si="1"/>
        <v>0</v>
      </c>
      <c r="Z12" s="1313">
        <f t="shared" si="1"/>
        <v>0</v>
      </c>
      <c r="AA12" s="1325">
        <f t="shared" si="1"/>
        <v>0</v>
      </c>
      <c r="AB12" s="1318">
        <f>SUM(AB8:AB11)</f>
        <v>0</v>
      </c>
      <c r="AC12" s="1325">
        <f>SUM(AC8:AC11)</f>
        <v>0</v>
      </c>
      <c r="AD12" s="1318">
        <f>SUM(AD8:AD11)</f>
        <v>0</v>
      </c>
      <c r="AE12" s="1325">
        <f>SUM(AE8:AE11)</f>
        <v>0</v>
      </c>
      <c r="AF12" s="1318">
        <f t="shared" ref="AF12" si="2">SUM(AF8:AF11)</f>
        <v>0</v>
      </c>
      <c r="AG12" s="1325">
        <f>SUM(AG8:AG11)</f>
        <v>0</v>
      </c>
      <c r="AH12" s="1318">
        <f t="shared" ref="AH12" si="3">SUM(AH8:AH11)</f>
        <v>0</v>
      </c>
      <c r="AI12" s="1325">
        <f>SUM(AI8:AI11)</f>
        <v>0</v>
      </c>
      <c r="AJ12" s="1318">
        <f>SUM(AJ8:AJ11)</f>
        <v>671.41999999999985</v>
      </c>
      <c r="AK12" s="1325">
        <f t="shared" ref="AK12:AM12" si="4">SUM(AK8:AK11)</f>
        <v>10</v>
      </c>
      <c r="AL12" s="1318">
        <f>SUM(AL8:AL11)</f>
        <v>681.58999999999992</v>
      </c>
      <c r="AM12" s="1325">
        <f t="shared" si="4"/>
        <v>12</v>
      </c>
      <c r="AP12" s="1554" t="s">
        <v>907</v>
      </c>
      <c r="AQ12" s="1552">
        <f>(X3/1.4)</f>
        <v>42.364285714285721</v>
      </c>
      <c r="AR12" s="1524">
        <f>(Y3)</f>
        <v>5</v>
      </c>
      <c r="AS12" s="1500"/>
      <c r="AT12" s="1501"/>
      <c r="AU12" s="1552">
        <f>(AB3/1.4)</f>
        <v>1.8142857142857145</v>
      </c>
      <c r="AV12" s="1524">
        <f>(AC3)</f>
        <v>1</v>
      </c>
      <c r="AW12" s="1553">
        <f>(AD3/1.4)</f>
        <v>8.75</v>
      </c>
      <c r="AX12" s="1335">
        <f>(AE3)</f>
        <v>6</v>
      </c>
      <c r="AY12" s="1499"/>
      <c r="AZ12" s="1500"/>
      <c r="BA12" s="1553">
        <f>(AH3/1.4)</f>
        <v>37.585714285714289</v>
      </c>
      <c r="BB12" s="1335">
        <f>(AI3)</f>
        <v>22</v>
      </c>
      <c r="BC12" s="1509"/>
      <c r="BD12" s="1500"/>
      <c r="BE12" s="1553">
        <f>(AL3/1.4)</f>
        <v>21.228571428571428</v>
      </c>
      <c r="BF12" s="1335">
        <f>(AM3)</f>
        <v>4</v>
      </c>
    </row>
    <row r="13" spans="1:58" ht="15.75" thickBot="1">
      <c r="A13" s="1438">
        <f>(D13/1.4)+D1+F1+D3+F3</f>
        <v>578.71428571428578</v>
      </c>
      <c r="C13" s="1294" t="s">
        <v>387</v>
      </c>
      <c r="D13" s="1767">
        <f>(D12+F12)</f>
        <v>652.00000000000011</v>
      </c>
      <c r="E13" s="1768"/>
      <c r="F13" s="1769">
        <f>(E12+G12)</f>
        <v>21</v>
      </c>
      <c r="G13" s="1770"/>
      <c r="H13" s="1767">
        <f>(H12+J12)</f>
        <v>3431.9199999999992</v>
      </c>
      <c r="I13" s="1768"/>
      <c r="J13" s="1769">
        <f>(I12+K12)</f>
        <v>49</v>
      </c>
      <c r="K13" s="1770"/>
      <c r="L13" s="1767">
        <f>(L12+N12)</f>
        <v>5975.2999999999993</v>
      </c>
      <c r="M13" s="1768"/>
      <c r="N13" s="1769">
        <f>(M12+O12)</f>
        <v>94</v>
      </c>
      <c r="O13" s="1770"/>
      <c r="P13" s="1767">
        <f>(P12+R12)</f>
        <v>1319.9399999999998</v>
      </c>
      <c r="Q13" s="1768"/>
      <c r="R13" s="1769">
        <f>(Q12+S12)</f>
        <v>21</v>
      </c>
      <c r="S13" s="1770"/>
      <c r="U13" s="1438">
        <f>(X3+AB3+AD3+AH3+AL3)/1.4</f>
        <v>111.74285714285715</v>
      </c>
      <c r="W13" s="1294" t="s">
        <v>387</v>
      </c>
      <c r="X13" s="1767">
        <f>(X12+Z12)</f>
        <v>0</v>
      </c>
      <c r="Y13" s="1768"/>
      <c r="Z13" s="1769">
        <f>(Y12+AA12)</f>
        <v>0</v>
      </c>
      <c r="AA13" s="1770"/>
      <c r="AB13" s="1767">
        <f>(AB12+AD12)</f>
        <v>0</v>
      </c>
      <c r="AC13" s="1768"/>
      <c r="AD13" s="1769">
        <f>(AC12+AE12)</f>
        <v>0</v>
      </c>
      <c r="AE13" s="1770"/>
      <c r="AF13" s="1767">
        <f>(AF12+AH12)</f>
        <v>0</v>
      </c>
      <c r="AG13" s="1768"/>
      <c r="AH13" s="1769">
        <f>(AG12+AI12)</f>
        <v>0</v>
      </c>
      <c r="AI13" s="1770"/>
      <c r="AJ13" s="1767">
        <f>(AJ12+AL12)</f>
        <v>1353.0099999999998</v>
      </c>
      <c r="AK13" s="1768"/>
      <c r="AL13" s="1769">
        <f>(AK12+AM12)</f>
        <v>22</v>
      </c>
      <c r="AM13" s="1770"/>
      <c r="AP13" s="1485" t="s">
        <v>986</v>
      </c>
      <c r="AQ13" s="1499"/>
      <c r="AR13" s="1496"/>
      <c r="AS13" s="1500"/>
      <c r="AT13" s="1501"/>
      <c r="AU13" s="1499"/>
      <c r="AV13" s="1500"/>
      <c r="AW13" s="1500"/>
      <c r="AX13" s="1501"/>
      <c r="AY13" s="1499"/>
      <c r="AZ13" s="1500"/>
      <c r="BA13" s="1500"/>
      <c r="BB13" s="1501"/>
      <c r="BC13" s="1509"/>
      <c r="BD13" s="1500"/>
      <c r="BE13" s="1500"/>
      <c r="BF13" s="1501"/>
    </row>
    <row r="14" spans="1:58" ht="16.5" thickTop="1" thickBot="1">
      <c r="A14" s="1437"/>
      <c r="C14" s="1294"/>
      <c r="D14" s="1762">
        <v>55</v>
      </c>
      <c r="E14" s="1762"/>
      <c r="F14" s="1761">
        <f>(D14*D13)</f>
        <v>35860.000000000007</v>
      </c>
      <c r="G14" s="1761"/>
      <c r="H14" s="1762">
        <v>55</v>
      </c>
      <c r="I14" s="1762"/>
      <c r="J14" s="1761">
        <f>(H14*H13)</f>
        <v>188755.59999999995</v>
      </c>
      <c r="K14" s="1761"/>
      <c r="L14" s="1762">
        <v>58</v>
      </c>
      <c r="M14" s="1762"/>
      <c r="N14" s="1761">
        <f>(L14*L13)</f>
        <v>346567.39999999997</v>
      </c>
      <c r="O14" s="1761"/>
      <c r="P14" s="1762">
        <v>60</v>
      </c>
      <c r="Q14" s="1762"/>
      <c r="R14" s="1761">
        <f>(P14*P13)</f>
        <v>79196.399999999994</v>
      </c>
      <c r="S14" s="1761"/>
      <c r="U14" s="1531">
        <f>SUM(U12:U13)</f>
        <v>1078.1785714285713</v>
      </c>
      <c r="W14" s="1294"/>
      <c r="X14" s="1762">
        <v>55</v>
      </c>
      <c r="Y14" s="1762"/>
      <c r="Z14" s="1761">
        <f>(X14*X13)</f>
        <v>0</v>
      </c>
      <c r="AA14" s="1761"/>
      <c r="AB14" s="1762">
        <v>55</v>
      </c>
      <c r="AC14" s="1762"/>
      <c r="AD14" s="1761">
        <f>(AB14*AB13)</f>
        <v>0</v>
      </c>
      <c r="AE14" s="1761"/>
      <c r="AF14" s="1762">
        <v>58</v>
      </c>
      <c r="AG14" s="1762"/>
      <c r="AH14" s="1761">
        <f>(AF14*AF13)</f>
        <v>0</v>
      </c>
      <c r="AI14" s="1761"/>
      <c r="AJ14" s="1762">
        <v>60</v>
      </c>
      <c r="AK14" s="1762"/>
      <c r="AL14" s="1761">
        <f>(AJ14*AJ13)</f>
        <v>81180.599999999991</v>
      </c>
      <c r="AM14" s="1761"/>
      <c r="AP14" s="1486" t="s">
        <v>908</v>
      </c>
      <c r="AQ14" s="1503"/>
      <c r="AR14" s="1504"/>
      <c r="AS14" s="1505"/>
      <c r="AT14" s="1506"/>
      <c r="AU14" s="1507"/>
      <c r="AV14" s="1505"/>
      <c r="AW14" s="1505"/>
      <c r="AX14" s="1506"/>
      <c r="AY14" s="1507"/>
      <c r="AZ14" s="1505"/>
      <c r="BA14" s="1505"/>
      <c r="BB14" s="1506"/>
      <c r="BC14" s="1510"/>
      <c r="BD14" s="1505"/>
      <c r="BE14" s="1505"/>
      <c r="BF14" s="1506"/>
    </row>
    <row r="15" spans="1:58">
      <c r="A15" s="1437"/>
      <c r="C15" s="1294"/>
      <c r="D15" s="1326"/>
      <c r="E15" s="1326"/>
      <c r="F15" s="1327"/>
      <c r="G15" s="1327"/>
      <c r="H15" s="1328"/>
      <c r="I15" s="1328"/>
      <c r="J15" s="1328"/>
      <c r="K15" s="1328"/>
      <c r="L15" s="1328"/>
      <c r="M15" s="1328"/>
      <c r="N15" s="1328"/>
      <c r="O15" s="1328"/>
      <c r="P15" s="1328"/>
      <c r="Q15" s="1328"/>
      <c r="R15" s="1328"/>
      <c r="S15" s="1328"/>
      <c r="U15" s="1532">
        <f>(U14*1.4)</f>
        <v>1509.4499999999998</v>
      </c>
      <c r="W15" s="1294"/>
      <c r="X15" s="1326"/>
      <c r="Y15" s="1326"/>
      <c r="Z15" s="1327"/>
      <c r="AA15" s="1327"/>
      <c r="AB15" s="1328"/>
      <c r="AC15" s="1328"/>
      <c r="AD15" s="1328"/>
      <c r="AE15" s="1328"/>
      <c r="AF15" s="1328"/>
      <c r="AG15" s="1328"/>
      <c r="AH15" s="1328"/>
      <c r="AI15" s="1328"/>
      <c r="AJ15" s="1328"/>
      <c r="AK15" s="1328"/>
      <c r="AL15" s="1328"/>
      <c r="AM15" s="1328"/>
      <c r="AP15" s="1294" t="s">
        <v>909</v>
      </c>
      <c r="AQ15" s="1487">
        <f t="shared" ref="AQ15:BB15" si="5">SUM(AQ8:AQ14)</f>
        <v>42.364285714285721</v>
      </c>
      <c r="AR15" s="1488">
        <f t="shared" si="5"/>
        <v>5</v>
      </c>
      <c r="AS15" s="1489">
        <f t="shared" si="5"/>
        <v>0</v>
      </c>
      <c r="AT15" s="1490">
        <f t="shared" si="5"/>
        <v>0</v>
      </c>
      <c r="AU15" s="1487">
        <f t="shared" si="5"/>
        <v>1.8142857142857145</v>
      </c>
      <c r="AV15" s="1488">
        <f t="shared" si="5"/>
        <v>1</v>
      </c>
      <c r="AW15" s="1489">
        <f t="shared" si="5"/>
        <v>8.75</v>
      </c>
      <c r="AX15" s="1490">
        <f t="shared" si="5"/>
        <v>6</v>
      </c>
      <c r="AY15" s="1489">
        <f t="shared" si="5"/>
        <v>0</v>
      </c>
      <c r="AZ15" s="1488">
        <f t="shared" si="5"/>
        <v>0</v>
      </c>
      <c r="BA15" s="1489">
        <f t="shared" si="5"/>
        <v>37.585714285714289</v>
      </c>
      <c r="BB15" s="1490">
        <f t="shared" si="5"/>
        <v>22</v>
      </c>
      <c r="BC15" s="1491">
        <f>SUM(BC8:BC14)</f>
        <v>479.58571428571418</v>
      </c>
      <c r="BD15" s="1492">
        <f>SUM(BD8:BD14)</f>
        <v>10</v>
      </c>
      <c r="BE15" s="1491">
        <f>SUM(BE8:BE14)</f>
        <v>508.07857142857142</v>
      </c>
      <c r="BF15" s="1493">
        <f>SUM(BF8:BF14)</f>
        <v>16</v>
      </c>
    </row>
    <row r="16" spans="1:58" ht="19.5" thickBot="1">
      <c r="A16" s="1437">
        <f>(D1+F1+H2+D3+F3+H3+D16)</f>
        <v>8476.1714285714279</v>
      </c>
      <c r="C16" s="1294"/>
      <c r="D16" s="1304">
        <f>(L16/1.4)</f>
        <v>8127.9714285714281</v>
      </c>
      <c r="E16" s="1304"/>
      <c r="F16" s="1304"/>
      <c r="G16" s="1304"/>
      <c r="H16" s="1304"/>
      <c r="I16" s="1304"/>
      <c r="J16" s="1305"/>
      <c r="K16" s="1305"/>
      <c r="L16" s="1306">
        <f>(D12+F12+H12+J12+L12+N12+P12+R12)</f>
        <v>11379.159999999998</v>
      </c>
      <c r="M16" s="1306"/>
      <c r="N16" s="1306"/>
      <c r="O16" s="1306"/>
      <c r="P16" s="1305"/>
      <c r="Q16" s="1305"/>
      <c r="R16" s="1305"/>
      <c r="S16" s="1305"/>
      <c r="U16" s="1532">
        <f>('Salida semana 20'!H2+'Salida semana 20'!I2)</f>
        <v>9505.6600000000108</v>
      </c>
      <c r="W16" s="1294"/>
      <c r="X16" s="1304">
        <f>(AF16/1.4)</f>
        <v>966.4357142857142</v>
      </c>
      <c r="Y16" s="1304"/>
      <c r="Z16" s="1304"/>
      <c r="AA16" s="1304"/>
      <c r="AB16" s="1304"/>
      <c r="AC16" s="1304"/>
      <c r="AD16" s="1305"/>
      <c r="AE16" s="1305"/>
      <c r="AF16" s="1306">
        <f>(X12+Z12+AB12+AD12+AF12+AH12+AJ12+AL12)</f>
        <v>1353.0099999999998</v>
      </c>
      <c r="AG16" s="1306"/>
      <c r="AH16" s="1306"/>
      <c r="AI16" s="1306"/>
      <c r="AJ16" s="1305"/>
      <c r="AK16" s="1305"/>
      <c r="AL16" s="1305"/>
      <c r="AM16" s="1305"/>
      <c r="AP16" s="1456" t="s">
        <v>387</v>
      </c>
      <c r="AQ16" s="1775">
        <f>(AQ15+AS15)</f>
        <v>42.364285714285721</v>
      </c>
      <c r="AR16" s="1775"/>
      <c r="AS16" s="1775"/>
      <c r="AT16" s="1776"/>
      <c r="AU16" s="1777">
        <f>AU15+AW15</f>
        <v>10.564285714285715</v>
      </c>
      <c r="AV16" s="1775"/>
      <c r="AW16" s="1775"/>
      <c r="AX16" s="1776"/>
      <c r="AY16" s="1777">
        <f>AY15+BA15</f>
        <v>37.585714285714289</v>
      </c>
      <c r="AZ16" s="1775"/>
      <c r="BA16" s="1775"/>
      <c r="BB16" s="1776"/>
      <c r="BC16" s="1777">
        <f>BC15+BE15</f>
        <v>987.6642857142856</v>
      </c>
      <c r="BD16" s="1775"/>
      <c r="BE16" s="1775"/>
      <c r="BF16" s="1775"/>
    </row>
    <row r="17" spans="3:58" ht="16.5" thickTop="1" thickBot="1">
      <c r="C17" s="158" t="s">
        <v>910</v>
      </c>
      <c r="D17" s="1307">
        <f>(L17/1.4)</f>
        <v>2900.3571428571431</v>
      </c>
      <c r="E17" s="1307"/>
      <c r="F17" s="1307"/>
      <c r="G17" s="1307"/>
      <c r="H17" s="1307"/>
      <c r="I17" s="1307"/>
      <c r="J17" s="1305"/>
      <c r="K17" s="1305"/>
      <c r="L17" s="1308">
        <f>(D12+H12+L12+P12)</f>
        <v>4060.5</v>
      </c>
      <c r="M17" s="1308"/>
      <c r="N17" s="1308"/>
      <c r="O17" s="1308"/>
      <c r="P17" s="1305"/>
      <c r="Q17" s="1305"/>
      <c r="R17" s="1305"/>
      <c r="S17" s="1305"/>
      <c r="U17" s="1530">
        <f>SUM(U15:U16)</f>
        <v>11015.110000000011</v>
      </c>
      <c r="W17" s="158" t="s">
        <v>910</v>
      </c>
      <c r="X17" s="1307">
        <f>(AF17/1.4)</f>
        <v>479.58571428571423</v>
      </c>
      <c r="Y17" s="1307"/>
      <c r="Z17" s="1307"/>
      <c r="AA17" s="1307"/>
      <c r="AB17" s="1307"/>
      <c r="AC17" s="1307"/>
      <c r="AD17" s="1305"/>
      <c r="AE17" s="1305"/>
      <c r="AF17" s="1308">
        <f>(X12+AB12+AF12+AJ12)</f>
        <v>671.41999999999985</v>
      </c>
      <c r="AG17" s="1308"/>
      <c r="AH17" s="1308"/>
      <c r="AI17" s="1308"/>
      <c r="AJ17" s="1305"/>
      <c r="AK17" s="1305"/>
      <c r="AL17" s="1305"/>
      <c r="AM17" s="1305"/>
    </row>
    <row r="18" spans="3:58" ht="19.5" thickTop="1">
      <c r="C18" s="158" t="s">
        <v>911</v>
      </c>
      <c r="D18" s="1307">
        <f>(L18/1.4)</f>
        <v>5227.614285714285</v>
      </c>
      <c r="E18" s="1307"/>
      <c r="F18" s="1307"/>
      <c r="G18" s="1307"/>
      <c r="H18" s="1307"/>
      <c r="I18" s="1307"/>
      <c r="J18" s="1305"/>
      <c r="K18" s="1305"/>
      <c r="L18" s="1308">
        <f>(F12+J12+N12+R12)</f>
        <v>7318.659999999998</v>
      </c>
      <c r="M18" s="1308"/>
      <c r="N18" s="1308"/>
      <c r="O18" s="1308"/>
      <c r="P18" s="1305"/>
      <c r="Q18" s="1305"/>
      <c r="R18" s="1305"/>
      <c r="S18" s="1305"/>
      <c r="U18" s="1419">
        <f>(U17/1.4)</f>
        <v>7867.9357142857234</v>
      </c>
      <c r="W18" s="158" t="s">
        <v>911</v>
      </c>
      <c r="X18" s="1307">
        <f>(AF18/1.4)</f>
        <v>486.84999999999997</v>
      </c>
      <c r="Y18" s="1307"/>
      <c r="Z18" s="1307"/>
      <c r="AA18" s="1307"/>
      <c r="AB18" s="1307"/>
      <c r="AC18" s="1307"/>
      <c r="AD18" s="1305"/>
      <c r="AE18" s="1305"/>
      <c r="AF18" s="1308">
        <f>(Z12+AD12+AH12+AL12)</f>
        <v>681.58999999999992</v>
      </c>
      <c r="AG18" s="1308"/>
      <c r="AH18" s="1308"/>
      <c r="AI18" s="1308"/>
      <c r="AJ18" s="1305"/>
      <c r="AK18" s="1305"/>
      <c r="AL18" s="1305"/>
      <c r="AM18" s="1305"/>
      <c r="AQ18" s="1778">
        <f>SUM(AQ16:BE16)</f>
        <v>1078.1785714285713</v>
      </c>
      <c r="AR18" s="1778"/>
      <c r="AS18" s="1778"/>
      <c r="AT18" s="1778"/>
      <c r="AU18" s="1778"/>
      <c r="AV18" s="1778"/>
      <c r="AW18" s="1778"/>
      <c r="AX18" s="1778"/>
      <c r="AY18" s="1779">
        <f>(AQ18*1.4)</f>
        <v>1509.4499999999998</v>
      </c>
      <c r="AZ18" s="1779"/>
      <c r="BA18" s="1779"/>
      <c r="BB18" s="1779"/>
      <c r="BC18" s="1779"/>
      <c r="BD18" s="1779"/>
      <c r="BE18" s="1779"/>
      <c r="BF18" s="1779"/>
    </row>
    <row r="19" spans="3:58">
      <c r="L19" s="179"/>
      <c r="M19" s="179"/>
      <c r="N19" s="179"/>
      <c r="O19" s="179"/>
      <c r="AF19" s="179"/>
      <c r="AG19" s="179"/>
      <c r="AH19" s="179"/>
      <c r="AI19" s="179"/>
      <c r="AP19" s="1494" t="s">
        <v>910</v>
      </c>
      <c r="AQ19" s="1773">
        <f>(AQ15+AU15+AY15+BC15)</f>
        <v>523.76428571428562</v>
      </c>
      <c r="AR19" s="1773"/>
      <c r="AS19" s="1773"/>
      <c r="AT19" s="1773"/>
      <c r="AU19" s="1773"/>
      <c r="AV19" s="1773"/>
      <c r="AW19" s="1773"/>
      <c r="AX19" s="1773"/>
      <c r="AY19" s="1774">
        <f>(AQ19*1.4)</f>
        <v>733.26999999999987</v>
      </c>
      <c r="AZ19" s="1774"/>
      <c r="BA19" s="1774"/>
      <c r="BB19" s="1774"/>
      <c r="BC19" s="1774"/>
      <c r="BD19" s="1774"/>
      <c r="BE19" s="1774"/>
      <c r="BF19" s="1774"/>
    </row>
    <row r="20" spans="3:58">
      <c r="C20" s="143"/>
      <c r="W20" s="143"/>
      <c r="AP20" s="1494" t="s">
        <v>911</v>
      </c>
      <c r="AQ20" s="1773">
        <f>(AS15+AW15+BA15+BE15)</f>
        <v>554.41428571428571</v>
      </c>
      <c r="AR20" s="1773"/>
      <c r="AS20" s="1773"/>
      <c r="AT20" s="1773"/>
      <c r="AU20" s="1773"/>
      <c r="AV20" s="1773"/>
      <c r="AW20" s="1773"/>
      <c r="AX20" s="1773"/>
      <c r="AY20" s="1774">
        <f>(AQ20*1.4)</f>
        <v>776.18</v>
      </c>
      <c r="AZ20" s="1774"/>
      <c r="BA20" s="1774"/>
      <c r="BB20" s="1774"/>
      <c r="BC20" s="1774"/>
      <c r="BD20" s="1774"/>
      <c r="BE20" s="1774"/>
      <c r="BF20" s="1774"/>
    </row>
    <row r="21" spans="3:58" hidden="1">
      <c r="C21" s="202" t="s">
        <v>949</v>
      </c>
      <c r="L21" s="1420">
        <f>55</f>
        <v>55</v>
      </c>
      <c r="M21" s="1421" t="s">
        <v>948</v>
      </c>
      <c r="N21" s="1422">
        <f>55*1.4</f>
        <v>77</v>
      </c>
      <c r="O21" s="324"/>
      <c r="P21" s="1420">
        <v>60</v>
      </c>
      <c r="Q21" s="1421" t="s">
        <v>948</v>
      </c>
      <c r="R21" s="1422">
        <f>60*1.4</f>
        <v>84</v>
      </c>
      <c r="W21" s="202"/>
      <c r="AF21" s="1420">
        <f>55</f>
        <v>55</v>
      </c>
      <c r="AG21" s="1421" t="s">
        <v>948</v>
      </c>
      <c r="AH21" s="1422">
        <f>55*1.4</f>
        <v>77</v>
      </c>
      <c r="AI21" s="324"/>
      <c r="AJ21" s="1420">
        <v>60</v>
      </c>
      <c r="AK21" s="1421" t="s">
        <v>948</v>
      </c>
      <c r="AL21" s="1422">
        <f>60*1.4</f>
        <v>84</v>
      </c>
      <c r="AP21" s="1555" t="s">
        <v>949</v>
      </c>
      <c r="AQ21" s="1294"/>
      <c r="AR21" s="1294"/>
      <c r="AS21" s="1294"/>
      <c r="AT21" s="1294"/>
      <c r="AU21" s="1294"/>
      <c r="AY21" s="1420">
        <f>55</f>
        <v>55</v>
      </c>
      <c r="AZ21" s="1421" t="s">
        <v>948</v>
      </c>
      <c r="BA21" s="1422">
        <f>55*1.4</f>
        <v>77</v>
      </c>
      <c r="BB21" s="324"/>
      <c r="BC21" s="1420">
        <v>60</v>
      </c>
      <c r="BD21" s="1421" t="s">
        <v>948</v>
      </c>
      <c r="BE21" s="1422">
        <f>60*1.4</f>
        <v>84</v>
      </c>
    </row>
    <row r="22" spans="3:58" hidden="1">
      <c r="C22" s="202" t="s">
        <v>950</v>
      </c>
      <c r="L22" s="1420">
        <v>58</v>
      </c>
      <c r="M22" s="1421" t="s">
        <v>948</v>
      </c>
      <c r="N22" s="1422">
        <f>58*1.4</f>
        <v>81.199999999999989</v>
      </c>
      <c r="O22" s="324"/>
      <c r="P22" s="324"/>
      <c r="Q22" s="1423"/>
      <c r="R22" s="1423"/>
      <c r="W22" s="202"/>
      <c r="AF22" s="1420">
        <v>58</v>
      </c>
      <c r="AG22" s="1421" t="s">
        <v>948</v>
      </c>
      <c r="AH22" s="1422">
        <f>58*1.4</f>
        <v>81.199999999999989</v>
      </c>
      <c r="AI22" s="324"/>
      <c r="AJ22" s="324"/>
      <c r="AK22" s="1423"/>
      <c r="AL22" s="1423"/>
      <c r="AP22" s="1555" t="s">
        <v>950</v>
      </c>
      <c r="AQ22" s="1294"/>
      <c r="AR22" s="1294"/>
      <c r="AS22" s="1294"/>
      <c r="AT22" s="1294"/>
      <c r="AU22" s="1294"/>
      <c r="AY22" s="1420">
        <v>58</v>
      </c>
      <c r="AZ22" s="1421" t="s">
        <v>948</v>
      </c>
      <c r="BA22" s="1422">
        <f>58*1.4</f>
        <v>81.199999999999989</v>
      </c>
      <c r="BB22" s="324"/>
      <c r="BC22" s="324"/>
      <c r="BD22" s="1423"/>
      <c r="BE22" s="1423"/>
    </row>
    <row r="23" spans="3:58" hidden="1"/>
    <row r="24" spans="3:58" hidden="1"/>
    <row r="25" spans="3:58">
      <c r="W25" s="78"/>
    </row>
  </sheetData>
  <mergeCells count="70">
    <mergeCell ref="R7:S7"/>
    <mergeCell ref="P13:Q13"/>
    <mergeCell ref="R13:S13"/>
    <mergeCell ref="P14:Q14"/>
    <mergeCell ref="R14:S14"/>
    <mergeCell ref="P7:Q7"/>
    <mergeCell ref="N7:O7"/>
    <mergeCell ref="L13:M13"/>
    <mergeCell ref="N13:O13"/>
    <mergeCell ref="L14:M14"/>
    <mergeCell ref="N14:O14"/>
    <mergeCell ref="L7:M7"/>
    <mergeCell ref="J7:K7"/>
    <mergeCell ref="H13:I13"/>
    <mergeCell ref="J13:K13"/>
    <mergeCell ref="H14:I14"/>
    <mergeCell ref="J14:K14"/>
    <mergeCell ref="H7:I7"/>
    <mergeCell ref="C6:C7"/>
    <mergeCell ref="D13:E13"/>
    <mergeCell ref="F13:G13"/>
    <mergeCell ref="D14:E14"/>
    <mergeCell ref="F14:G14"/>
    <mergeCell ref="AP5:BF5"/>
    <mergeCell ref="AP6:AP7"/>
    <mergeCell ref="AQ6:AT6"/>
    <mergeCell ref="AU6:AX6"/>
    <mergeCell ref="AY6:BB6"/>
    <mergeCell ref="BC6:BF6"/>
    <mergeCell ref="AQ7:AR7"/>
    <mergeCell ref="AS7:AT7"/>
    <mergeCell ref="AU7:AV7"/>
    <mergeCell ref="AW7:AX7"/>
    <mergeCell ref="AY7:AZ7"/>
    <mergeCell ref="BA7:BB7"/>
    <mergeCell ref="BC7:BD7"/>
    <mergeCell ref="BE7:BF7"/>
    <mergeCell ref="AQ19:AX19"/>
    <mergeCell ref="AY19:BF19"/>
    <mergeCell ref="AQ20:AX20"/>
    <mergeCell ref="AY20:BF20"/>
    <mergeCell ref="AQ16:AT16"/>
    <mergeCell ref="AU16:AX16"/>
    <mergeCell ref="AY16:BB16"/>
    <mergeCell ref="BC16:BF16"/>
    <mergeCell ref="AQ18:AX18"/>
    <mergeCell ref="AY18:BF18"/>
    <mergeCell ref="W6:W7"/>
    <mergeCell ref="AB7:AC7"/>
    <mergeCell ref="AD7:AE7"/>
    <mergeCell ref="AF7:AG7"/>
    <mergeCell ref="AH7:AI7"/>
    <mergeCell ref="AJ7:AK7"/>
    <mergeCell ref="AL7:AM7"/>
    <mergeCell ref="X13:Y13"/>
    <mergeCell ref="Z13:AA13"/>
    <mergeCell ref="AB13:AC13"/>
    <mergeCell ref="AD13:AE13"/>
    <mergeCell ref="AF13:AG13"/>
    <mergeCell ref="AH13:AI13"/>
    <mergeCell ref="AJ13:AK13"/>
    <mergeCell ref="AL13:AM13"/>
    <mergeCell ref="AH14:AI14"/>
    <mergeCell ref="AJ14:AK14"/>
    <mergeCell ref="AL14:AM14"/>
    <mergeCell ref="X14:Y14"/>
    <mergeCell ref="Z14:AA14"/>
    <mergeCell ref="AB14:AC14"/>
    <mergeCell ref="AD14:AE14"/>
    <mergeCell ref="AF14:AG14"/>
  </mergeCells>
  <conditionalFormatting sqref="F1:F2">
    <cfRule type="cellIs" dxfId="8" priority="3" operator="equal">
      <formula>0</formula>
    </cfRule>
  </conditionalFormatting>
  <conditionalFormatting sqref="Z1:Z2">
    <cfRule type="cellIs" dxfId="7" priority="1" operator="equal">
      <formula>0</formula>
    </cfRule>
  </conditionalFormatting>
  <pageMargins left="0.70866141732283472" right="0.70866141732283472" top="0.74803149606299213" bottom="0.74803149606299213" header="0.31496062992125984" footer="0.31496062992125984"/>
  <pageSetup paperSize="9" scale="74" orientation="landscape"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70269-57CC-40A6-8544-68B43DF9CFC3}">
  <dimension ref="B1:AF243"/>
  <sheetViews>
    <sheetView topLeftCell="A82" workbookViewId="0">
      <selection activeCell="F11" sqref="F11"/>
    </sheetView>
  </sheetViews>
  <sheetFormatPr baseColWidth="10" defaultRowHeight="15" outlineLevelRow="1"/>
  <cols>
    <col min="1" max="1" width="2.7109375" customWidth="1"/>
    <col min="2" max="2" width="7.5703125" style="1247" customWidth="1"/>
    <col min="3" max="3" width="31.140625" customWidth="1"/>
    <col min="4" max="4" width="14.7109375" style="1247" customWidth="1"/>
    <col min="5" max="5" width="10.85546875" style="1247" customWidth="1"/>
    <col min="6" max="6" width="12.7109375" style="1247" customWidth="1"/>
    <col min="7" max="7" width="13" style="1247" customWidth="1"/>
    <col min="8" max="8" width="12.7109375" style="1247" bestFit="1" customWidth="1"/>
    <col min="9" max="9" width="13.7109375" style="1247" bestFit="1" customWidth="1"/>
    <col min="10" max="10" width="12.42578125" style="1247" bestFit="1" customWidth="1"/>
    <col min="11" max="11" width="11.140625" style="1247" customWidth="1"/>
    <col min="12" max="12" width="10.5703125" style="1247" customWidth="1"/>
    <col min="13" max="14" width="9.85546875" style="1247" customWidth="1"/>
    <col min="15" max="15" width="10.85546875" style="1247" customWidth="1"/>
    <col min="16" max="16" width="9.85546875" style="1247" customWidth="1"/>
    <col min="18" max="18" width="26.85546875" bestFit="1" customWidth="1"/>
    <col min="19" max="19" width="17.28515625" style="1359" customWidth="1"/>
    <col min="20" max="20" width="13.85546875" style="1359" bestFit="1" customWidth="1"/>
    <col min="21" max="21" width="12.28515625" style="1359" customWidth="1"/>
    <col min="22" max="22" width="16.28515625" style="1359" customWidth="1"/>
    <col min="23" max="23" width="17.5703125" style="1359" customWidth="1"/>
    <col min="24" max="25" width="9.85546875" style="1359" customWidth="1"/>
    <col min="26" max="26" width="11.140625" style="1359" customWidth="1"/>
    <col min="27" max="27" width="10.5703125" style="1359" customWidth="1"/>
    <col min="28" max="29" width="9.85546875" style="1359" customWidth="1"/>
    <col min="30" max="30" width="10.85546875" style="1359" customWidth="1"/>
    <col min="31" max="31" width="9.85546875" style="1359" customWidth="1"/>
  </cols>
  <sheetData>
    <row r="1" spans="2:32">
      <c r="X1" s="1294"/>
      <c r="Y1" s="1294"/>
      <c r="Z1" s="1294"/>
      <c r="AA1" s="1294"/>
      <c r="AB1" s="1294"/>
      <c r="AC1" s="1294"/>
      <c r="AD1" s="1294"/>
      <c r="AE1" s="1294"/>
    </row>
    <row r="2" spans="2:32" s="1294" customFormat="1" ht="32.25" customHeight="1">
      <c r="B2" s="1029" t="s">
        <v>729</v>
      </c>
      <c r="C2" s="1029"/>
      <c r="D2" s="1354" t="s">
        <v>743</v>
      </c>
      <c r="E2" s="1030">
        <v>44927</v>
      </c>
      <c r="F2" s="1030">
        <v>44958</v>
      </c>
      <c r="G2" s="1030">
        <v>44986</v>
      </c>
      <c r="H2" s="1030">
        <v>45017</v>
      </c>
      <c r="I2" s="1030">
        <v>45047</v>
      </c>
      <c r="J2" s="1030">
        <v>45078</v>
      </c>
      <c r="K2" s="1030">
        <v>45108</v>
      </c>
      <c r="L2" s="1030">
        <v>45139</v>
      </c>
      <c r="M2" s="1030">
        <v>45170</v>
      </c>
      <c r="N2" s="1030">
        <v>45200</v>
      </c>
      <c r="O2" s="1030">
        <v>45231</v>
      </c>
      <c r="P2" s="1030">
        <v>45261</v>
      </c>
      <c r="R2" s="1368" t="s">
        <v>743</v>
      </c>
      <c r="S2" s="1354" t="s">
        <v>973</v>
      </c>
      <c r="T2" s="1030" t="s">
        <v>367</v>
      </c>
      <c r="U2" s="1361" t="s">
        <v>974</v>
      </c>
      <c r="V2" s="1361" t="s">
        <v>366</v>
      </c>
      <c r="W2" s="1361" t="s">
        <v>365</v>
      </c>
      <c r="X2"/>
      <c r="Y2"/>
      <c r="Z2"/>
      <c r="AA2"/>
      <c r="AB2"/>
      <c r="AC2"/>
      <c r="AD2"/>
      <c r="AE2"/>
    </row>
    <row r="3" spans="2:32" ht="18" customHeight="1">
      <c r="B3" s="1343" t="s">
        <v>885</v>
      </c>
      <c r="C3" s="1031" t="s">
        <v>731</v>
      </c>
      <c r="D3" s="1032">
        <f>(D16+D63+D114+D178)</f>
        <v>1497307.4879999999</v>
      </c>
      <c r="E3" s="1032">
        <f>(E16+E63+E114+E178)</f>
        <v>239211.84700000001</v>
      </c>
      <c r="F3" s="1032">
        <f t="shared" ref="F3:P3" si="0">(F16+F63+F114+F178)</f>
        <v>59633.233</v>
      </c>
      <c r="G3" s="1032">
        <f t="shared" si="0"/>
        <v>73306.337</v>
      </c>
      <c r="H3" s="1032">
        <f t="shared" si="0"/>
        <v>105910.698</v>
      </c>
      <c r="I3" s="1032">
        <f t="shared" si="0"/>
        <v>276168.05699999997</v>
      </c>
      <c r="J3" s="1032">
        <f t="shared" si="0"/>
        <v>47812.328000000001</v>
      </c>
      <c r="K3" s="1032">
        <f t="shared" si="0"/>
        <v>154105.75</v>
      </c>
      <c r="L3" s="1032">
        <f t="shared" si="0"/>
        <v>100204.47199999999</v>
      </c>
      <c r="M3" s="1032">
        <f t="shared" si="0"/>
        <v>55602.737000000001</v>
      </c>
      <c r="N3" s="1032">
        <f t="shared" si="0"/>
        <v>49403.923999999999</v>
      </c>
      <c r="O3" s="1032">
        <f t="shared" si="0"/>
        <v>183542.18400000001</v>
      </c>
      <c r="P3" s="1032">
        <f t="shared" si="0"/>
        <v>152405.921</v>
      </c>
      <c r="R3" s="1367" t="s">
        <v>731</v>
      </c>
      <c r="S3" s="1032">
        <f>(D3)</f>
        <v>1497307.4879999999</v>
      </c>
      <c r="T3" s="1362">
        <f>(D16)</f>
        <v>3542.8689999999997</v>
      </c>
      <c r="U3" s="1362">
        <f>(D63)</f>
        <v>64.619</v>
      </c>
      <c r="V3" s="1362">
        <f>(D114)</f>
        <v>24200</v>
      </c>
      <c r="W3" s="1362">
        <f>(D178)</f>
        <v>1469500</v>
      </c>
      <c r="X3"/>
      <c r="Y3"/>
      <c r="Z3"/>
      <c r="AA3"/>
      <c r="AB3"/>
      <c r="AC3"/>
      <c r="AD3"/>
      <c r="AE3"/>
    </row>
    <row r="4" spans="2:32" ht="18" customHeight="1">
      <c r="B4" s="1343" t="s">
        <v>885</v>
      </c>
      <c r="C4" s="1033" t="s">
        <v>732</v>
      </c>
      <c r="D4" s="1034">
        <f>(D19+D65+D119+D184)</f>
        <v>1260177.8659999999</v>
      </c>
      <c r="E4" s="1091">
        <f>(E19+E65+E119+E184)</f>
        <v>89462.99</v>
      </c>
      <c r="F4" s="1091">
        <f t="shared" ref="F4:P4" si="1">(F19+F65+F119+F184)</f>
        <v>6505.3649999999998</v>
      </c>
      <c r="G4" s="1091">
        <f t="shared" si="1"/>
        <v>109759.77499999999</v>
      </c>
      <c r="H4" s="1091">
        <f t="shared" si="1"/>
        <v>68484.375</v>
      </c>
      <c r="I4" s="1091">
        <f t="shared" si="1"/>
        <v>177149.87</v>
      </c>
      <c r="J4" s="1091">
        <f t="shared" si="1"/>
        <v>282563.63099999999</v>
      </c>
      <c r="K4" s="1091">
        <f t="shared" si="1"/>
        <v>128713.85</v>
      </c>
      <c r="L4" s="1091">
        <f t="shared" si="1"/>
        <v>75837.679999999993</v>
      </c>
      <c r="M4" s="1091">
        <f t="shared" si="1"/>
        <v>75519.55</v>
      </c>
      <c r="N4" s="1091">
        <f t="shared" si="1"/>
        <v>65954.73</v>
      </c>
      <c r="O4" s="1091">
        <f t="shared" si="1"/>
        <v>34751.15</v>
      </c>
      <c r="P4" s="1091">
        <f t="shared" si="1"/>
        <v>145474.9</v>
      </c>
      <c r="Q4" s="1122"/>
      <c r="R4" s="1075" t="s">
        <v>732</v>
      </c>
      <c r="S4" s="1034">
        <f>(D4)</f>
        <v>1260177.8659999999</v>
      </c>
      <c r="T4" s="1363">
        <f>(D19)</f>
        <v>2184.5</v>
      </c>
      <c r="U4" s="1363">
        <f>(D65)</f>
        <v>58.991</v>
      </c>
      <c r="V4" s="1363">
        <f>(D119)</f>
        <v>22340</v>
      </c>
      <c r="W4" s="1363">
        <f>(D184)</f>
        <v>1235594.375</v>
      </c>
      <c r="X4"/>
      <c r="Y4"/>
      <c r="Z4"/>
      <c r="AA4"/>
      <c r="AB4"/>
      <c r="AC4"/>
      <c r="AD4"/>
      <c r="AE4"/>
    </row>
    <row r="5" spans="2:32" ht="18" customHeight="1">
      <c r="B5" s="1343" t="s">
        <v>885</v>
      </c>
      <c r="C5" s="1033" t="s">
        <v>736</v>
      </c>
      <c r="D5" s="1039">
        <f>(D27+D71+D138+D198)</f>
        <v>12611950.405660378</v>
      </c>
      <c r="E5" s="1039">
        <f>(E27+E71+E138+E198)</f>
        <v>888358.5</v>
      </c>
      <c r="F5" s="1039">
        <f t="shared" ref="F5:P5" si="2">(F27+F71+F138+F198)</f>
        <v>857121.75</v>
      </c>
      <c r="G5" s="1039">
        <f t="shared" si="2"/>
        <v>1694832.5</v>
      </c>
      <c r="H5" s="1039">
        <f t="shared" si="2"/>
        <v>1158845</v>
      </c>
      <c r="I5" s="1039">
        <f t="shared" si="2"/>
        <v>1398832.5</v>
      </c>
      <c r="J5" s="1039">
        <f t="shared" si="2"/>
        <v>1646444.4056603773</v>
      </c>
      <c r="K5" s="1039">
        <f t="shared" si="2"/>
        <v>1061692</v>
      </c>
      <c r="L5" s="1039">
        <f t="shared" si="2"/>
        <v>940606</v>
      </c>
      <c r="M5" s="1039">
        <f t="shared" si="2"/>
        <v>631757.5</v>
      </c>
      <c r="N5" s="1039">
        <f t="shared" si="2"/>
        <v>674157.25</v>
      </c>
      <c r="O5" s="1039">
        <f t="shared" si="2"/>
        <v>767955</v>
      </c>
      <c r="P5" s="1039">
        <f t="shared" si="2"/>
        <v>891348</v>
      </c>
      <c r="R5" s="1075" t="s">
        <v>736</v>
      </c>
      <c r="S5" s="1039">
        <f>(D5)</f>
        <v>12611950.405660378</v>
      </c>
      <c r="T5" s="1364">
        <f>(D27)</f>
        <v>180667.25</v>
      </c>
      <c r="U5" s="1364">
        <f>(D71)</f>
        <v>1574943</v>
      </c>
      <c r="V5" s="1364">
        <f>(D138)</f>
        <v>5723624.9056603778</v>
      </c>
      <c r="W5" s="1364">
        <f>(D198)</f>
        <v>5132715.25</v>
      </c>
      <c r="X5"/>
      <c r="Y5"/>
      <c r="Z5"/>
      <c r="AA5"/>
      <c r="AB5"/>
      <c r="AC5"/>
      <c r="AD5"/>
      <c r="AE5"/>
    </row>
    <row r="6" spans="2:32" ht="18" customHeight="1">
      <c r="B6" s="1343" t="s">
        <v>885</v>
      </c>
      <c r="C6" s="1033" t="s">
        <v>738</v>
      </c>
      <c r="D6" s="1040">
        <f>IFERROR(SUM(E6:P6),"")</f>
        <v>9196924.9104064219</v>
      </c>
      <c r="E6" s="1040">
        <f>(E31+E74+E149+E207)</f>
        <v>965553.54842606082</v>
      </c>
      <c r="F6" s="1040">
        <f t="shared" ref="F6:P6" si="3">(F31+F74+F149+F207)</f>
        <v>706590.42654197034</v>
      </c>
      <c r="G6" s="1040">
        <f t="shared" si="3"/>
        <v>1077103.4564135554</v>
      </c>
      <c r="H6" s="1040">
        <f t="shared" si="3"/>
        <v>967658.80408625351</v>
      </c>
      <c r="I6" s="1040">
        <f t="shared" si="3"/>
        <v>940717.4018285214</v>
      </c>
      <c r="J6" s="1040">
        <f t="shared" si="3"/>
        <v>797850.40379898273</v>
      </c>
      <c r="K6" s="1040">
        <f t="shared" si="3"/>
        <v>1244684.4518897953</v>
      </c>
      <c r="L6" s="1040">
        <f t="shared" si="3"/>
        <v>628751.86047150916</v>
      </c>
      <c r="M6" s="1040">
        <f t="shared" si="3"/>
        <v>452145.97339726449</v>
      </c>
      <c r="N6" s="1040">
        <f t="shared" si="3"/>
        <v>460984.09809486225</v>
      </c>
      <c r="O6" s="1040">
        <f t="shared" si="3"/>
        <v>464142.02088388952</v>
      </c>
      <c r="P6" s="1040">
        <f t="shared" si="3"/>
        <v>490742.46457375755</v>
      </c>
      <c r="R6" s="1075" t="s">
        <v>738</v>
      </c>
      <c r="S6" s="1040">
        <f>(D6)</f>
        <v>9196924.9104064219</v>
      </c>
      <c r="T6" s="1365">
        <f>(D31)</f>
        <v>705770.11929000006</v>
      </c>
      <c r="U6" s="1365">
        <f>(D74)</f>
        <v>923031.86470000003</v>
      </c>
      <c r="V6" s="1365">
        <f>(D149)</f>
        <v>4164140.4653084222</v>
      </c>
      <c r="W6" s="1365">
        <f>(D207)</f>
        <v>3403982.4611080009</v>
      </c>
      <c r="X6"/>
      <c r="Y6"/>
      <c r="Z6"/>
      <c r="AA6"/>
      <c r="AB6"/>
      <c r="AC6"/>
      <c r="AD6"/>
      <c r="AE6"/>
    </row>
    <row r="7" spans="2:32" ht="18" customHeight="1" thickBot="1">
      <c r="B7" s="1343" t="s">
        <v>885</v>
      </c>
      <c r="C7" s="1045" t="s">
        <v>716</v>
      </c>
      <c r="D7" s="1044">
        <f>IFERROR(SUM(E7:P7),"")</f>
        <v>3415025.495253955</v>
      </c>
      <c r="E7" s="1044">
        <f>(E5-E6)</f>
        <v>-77195.048426060821</v>
      </c>
      <c r="F7" s="1044">
        <f t="shared" ref="F7:P7" si="4">(F5-F6)</f>
        <v>150531.32345802966</v>
      </c>
      <c r="G7" s="1044">
        <f t="shared" si="4"/>
        <v>617729.04358644458</v>
      </c>
      <c r="H7" s="1044">
        <f t="shared" si="4"/>
        <v>191186.19591374649</v>
      </c>
      <c r="I7" s="1044">
        <f t="shared" si="4"/>
        <v>458115.0981714786</v>
      </c>
      <c r="J7" s="1044">
        <f t="shared" si="4"/>
        <v>848594.00186139462</v>
      </c>
      <c r="K7" s="1044">
        <f t="shared" si="4"/>
        <v>-182992.45188979525</v>
      </c>
      <c r="L7" s="1044">
        <f t="shared" si="4"/>
        <v>311854.13952849084</v>
      </c>
      <c r="M7" s="1044">
        <f t="shared" si="4"/>
        <v>179611.52660273551</v>
      </c>
      <c r="N7" s="1044">
        <f t="shared" si="4"/>
        <v>213173.15190513775</v>
      </c>
      <c r="O7" s="1044">
        <f t="shared" si="4"/>
        <v>303812.97911611048</v>
      </c>
      <c r="P7" s="1044">
        <f t="shared" si="4"/>
        <v>400605.53542624245</v>
      </c>
      <c r="R7" s="1045" t="s">
        <v>716</v>
      </c>
      <c r="S7" s="1044">
        <f>(S5-S6)</f>
        <v>3415025.4952539559</v>
      </c>
      <c r="T7" s="1371">
        <f>(T5-T6)</f>
        <v>-525102.86929000006</v>
      </c>
      <c r="U7" s="1371">
        <f>(U5-U6)</f>
        <v>651911.13529999997</v>
      </c>
      <c r="V7" s="1371">
        <f>(V5-V6)</f>
        <v>1559484.4403519556</v>
      </c>
      <c r="W7" s="1371">
        <f>(W5-W6)</f>
        <v>1728732.7888919991</v>
      </c>
      <c r="X7"/>
      <c r="Y7"/>
      <c r="Z7"/>
      <c r="AA7"/>
      <c r="AB7"/>
      <c r="AC7"/>
      <c r="AD7"/>
      <c r="AE7"/>
    </row>
    <row r="8" spans="2:32" ht="18" customHeight="1" outlineLevel="1" thickTop="1">
      <c r="B8" s="1343" t="s">
        <v>885</v>
      </c>
      <c r="C8" s="1049"/>
      <c r="D8" s="1049">
        <f t="shared" ref="D8:P8" si="5">IFERROR(D7/D5,"")</f>
        <v>0.27077695244672506</v>
      </c>
      <c r="E8" s="1049">
        <f t="shared" si="5"/>
        <v>-8.6896279403034724E-2</v>
      </c>
      <c r="F8" s="1049">
        <f t="shared" si="5"/>
        <v>0.17562420211367832</v>
      </c>
      <c r="G8" s="1049">
        <f t="shared" si="5"/>
        <v>0.36447793135100054</v>
      </c>
      <c r="H8" s="1049">
        <f t="shared" si="5"/>
        <v>0.16497995496701154</v>
      </c>
      <c r="I8" s="1049">
        <f t="shared" si="5"/>
        <v>0.3274981802120544</v>
      </c>
      <c r="J8" s="1049">
        <f t="shared" si="5"/>
        <v>0.51541005511268967</v>
      </c>
      <c r="K8" s="1049">
        <f t="shared" si="5"/>
        <v>-0.17235926416493225</v>
      </c>
      <c r="L8" s="1049">
        <f t="shared" si="5"/>
        <v>0.33154598155709281</v>
      </c>
      <c r="M8" s="1049">
        <f t="shared" si="5"/>
        <v>0.28430454185781018</v>
      </c>
      <c r="N8" s="1049">
        <f t="shared" si="5"/>
        <v>0.31620686702566464</v>
      </c>
      <c r="O8" s="1049">
        <f t="shared" si="5"/>
        <v>0.39561299700647889</v>
      </c>
      <c r="P8" s="1049">
        <f t="shared" si="5"/>
        <v>0.44943785752168902</v>
      </c>
      <c r="R8" s="1049"/>
      <c r="S8" s="1049">
        <f>IFERROR(S7/S5,"")</f>
        <v>0.27077695244672512</v>
      </c>
      <c r="T8" s="1049">
        <f t="shared" ref="T8:W8" si="6">IFERROR(T7/T5,"")</f>
        <v>-2.9064640619149298</v>
      </c>
      <c r="U8" s="1049">
        <f t="shared" si="6"/>
        <v>0.41392681214494742</v>
      </c>
      <c r="V8" s="1049">
        <f>IFERROR(V7/V5,"")</f>
        <v>0.27246447243768607</v>
      </c>
      <c r="W8" s="1049">
        <f t="shared" si="6"/>
        <v>0.3368066811990007</v>
      </c>
      <c r="X8"/>
      <c r="Y8"/>
      <c r="Z8"/>
      <c r="AA8"/>
      <c r="AB8"/>
      <c r="AC8"/>
      <c r="AD8"/>
      <c r="AE8"/>
    </row>
    <row r="9" spans="2:32" ht="18" customHeight="1">
      <c r="B9" s="1343" t="s">
        <v>885</v>
      </c>
      <c r="C9" s="1042" t="s">
        <v>740</v>
      </c>
      <c r="D9" s="1043">
        <f>IF(SUM(E9:P9)&gt;0,SUM(E9:P9),"")</f>
        <v>1881728.5008999999</v>
      </c>
      <c r="E9" s="1043">
        <f>(E44+E86+E157+E219)</f>
        <v>176524.18176000001</v>
      </c>
      <c r="F9" s="1043">
        <f t="shared" ref="F9:P9" si="7">(F44+F86+F157+F219)</f>
        <v>138612.94378</v>
      </c>
      <c r="G9" s="1043">
        <f t="shared" si="7"/>
        <v>152072.75617999997</v>
      </c>
      <c r="H9" s="1043">
        <f t="shared" si="7"/>
        <v>155513.49959999998</v>
      </c>
      <c r="I9" s="1043">
        <f t="shared" si="7"/>
        <v>142016.89079999999</v>
      </c>
      <c r="J9" s="1043">
        <f t="shared" si="7"/>
        <v>173192.31940000001</v>
      </c>
      <c r="K9" s="1043">
        <f t="shared" si="7"/>
        <v>148499.56928</v>
      </c>
      <c r="L9" s="1043">
        <f t="shared" si="7"/>
        <v>179218.83499999999</v>
      </c>
      <c r="M9" s="1043">
        <f t="shared" si="7"/>
        <v>137040.27619999999</v>
      </c>
      <c r="N9" s="1043">
        <f t="shared" si="7"/>
        <v>161576.00339999999</v>
      </c>
      <c r="O9" s="1043">
        <f t="shared" si="7"/>
        <v>166060.58840000001</v>
      </c>
      <c r="P9" s="1043">
        <f t="shared" si="7"/>
        <v>151400.63709999999</v>
      </c>
      <c r="R9" s="1369" t="s">
        <v>975</v>
      </c>
      <c r="S9" s="1043">
        <f>(D9)</f>
        <v>1881728.5008999999</v>
      </c>
      <c r="T9" s="1366">
        <f>(D44)</f>
        <v>385027.15618850006</v>
      </c>
      <c r="U9" s="1366">
        <f>(D86)</f>
        <v>378991.09583849995</v>
      </c>
      <c r="V9" s="1366">
        <f>(D157)</f>
        <v>456263.75663650001</v>
      </c>
      <c r="W9" s="1366">
        <f>(D219)</f>
        <v>661446.49223650002</v>
      </c>
      <c r="X9"/>
      <c r="Y9"/>
      <c r="Z9"/>
      <c r="AA9"/>
      <c r="AB9"/>
      <c r="AC9"/>
      <c r="AD9"/>
      <c r="AE9"/>
    </row>
    <row r="10" spans="2:32" ht="18" customHeight="1" thickBot="1">
      <c r="B10" s="1343" t="s">
        <v>885</v>
      </c>
      <c r="C10" s="1033" t="s">
        <v>741</v>
      </c>
      <c r="D10" s="1039">
        <f t="shared" ref="D10" si="8">IF(SUM(E10:P10)&gt;0,SUM(E10:P10),"")</f>
        <v>334089.32</v>
      </c>
      <c r="E10" s="1039">
        <f>(E51+E95+E164+E226)</f>
        <v>18990.399999999998</v>
      </c>
      <c r="F10" s="1039">
        <f t="shared" ref="F10:P10" si="9">(F51+F95+F164+F226)</f>
        <v>29215.999999999993</v>
      </c>
      <c r="G10" s="1039">
        <f t="shared" si="9"/>
        <v>31845.439999999995</v>
      </c>
      <c r="H10" s="1039">
        <f t="shared" si="9"/>
        <v>31261.119999999995</v>
      </c>
      <c r="I10" s="1039">
        <f t="shared" si="9"/>
        <v>28339.519999999997</v>
      </c>
      <c r="J10" s="1039">
        <f t="shared" si="9"/>
        <v>49959.359999999986</v>
      </c>
      <c r="K10" s="1039">
        <f t="shared" si="9"/>
        <v>32137.599999999999</v>
      </c>
      <c r="L10" s="1039">
        <f t="shared" si="9"/>
        <v>22204.159999999996</v>
      </c>
      <c r="M10" s="1039">
        <f t="shared" si="9"/>
        <v>22204.159999999996</v>
      </c>
      <c r="N10" s="1039">
        <f t="shared" si="9"/>
        <v>20591.079999999998</v>
      </c>
      <c r="O10" s="1039">
        <f t="shared" si="9"/>
        <v>21630.399999999998</v>
      </c>
      <c r="P10" s="1039">
        <f t="shared" si="9"/>
        <v>25710.079999999994</v>
      </c>
      <c r="R10" s="1075" t="s">
        <v>741</v>
      </c>
      <c r="S10" s="1039">
        <f>(D10)</f>
        <v>334089.32</v>
      </c>
      <c r="T10" s="1364">
        <f>(D51)</f>
        <v>7746.6</v>
      </c>
      <c r="U10" s="1364">
        <f t="shared" ref="U10" si="10">(U51+U95+U164+U226)</f>
        <v>0</v>
      </c>
      <c r="V10" s="1364">
        <f>(D164)</f>
        <v>163171.35999999999</v>
      </c>
      <c r="W10" s="1364">
        <f>(D226)</f>
        <v>163171.35999999999</v>
      </c>
      <c r="X10"/>
      <c r="Y10"/>
      <c r="Z10"/>
      <c r="AA10"/>
      <c r="AB10"/>
      <c r="AC10"/>
      <c r="AD10"/>
      <c r="AE10"/>
    </row>
    <row r="11" spans="2:32" ht="18" customHeight="1" thickTop="1" thickBot="1">
      <c r="B11" s="1343" t="s">
        <v>885</v>
      </c>
      <c r="C11" s="1047" t="s">
        <v>739</v>
      </c>
      <c r="D11" s="1048">
        <f>IFERROR(SUM(E11:P11),"")</f>
        <v>1199207.6743539548</v>
      </c>
      <c r="E11" s="1048">
        <f t="shared" ref="E11:P11" si="11">(E7-E9-E10)</f>
        <v>-272709.63018606085</v>
      </c>
      <c r="F11" s="1048">
        <f t="shared" si="11"/>
        <v>-17297.620321970338</v>
      </c>
      <c r="G11" s="1048">
        <f t="shared" si="11"/>
        <v>433810.84740644461</v>
      </c>
      <c r="H11" s="1048">
        <f t="shared" si="11"/>
        <v>4411.576313746511</v>
      </c>
      <c r="I11" s="1048">
        <f t="shared" si="11"/>
        <v>287758.68737147859</v>
      </c>
      <c r="J11" s="1048">
        <f t="shared" si="11"/>
        <v>625442.32246139459</v>
      </c>
      <c r="K11" s="1048">
        <f t="shared" si="11"/>
        <v>-363629.62116979522</v>
      </c>
      <c r="L11" s="1048">
        <f t="shared" si="11"/>
        <v>110431.14452849084</v>
      </c>
      <c r="M11" s="1048">
        <f t="shared" si="11"/>
        <v>20367.090402735521</v>
      </c>
      <c r="N11" s="1048">
        <f t="shared" si="11"/>
        <v>31006.06850513777</v>
      </c>
      <c r="O11" s="1048">
        <f t="shared" si="11"/>
        <v>116121.99071611048</v>
      </c>
      <c r="P11" s="1048">
        <f t="shared" si="11"/>
        <v>223494.81832624247</v>
      </c>
      <c r="R11" s="1047" t="s">
        <v>739</v>
      </c>
      <c r="S11" s="1048">
        <f>(S7-S9-S10)</f>
        <v>1199207.674353956</v>
      </c>
      <c r="T11" s="1370">
        <f>(T7-T9-T10)</f>
        <v>-917876.62547850015</v>
      </c>
      <c r="U11" s="1370">
        <f>(U7-U9-U10)</f>
        <v>272920.03946150001</v>
      </c>
      <c r="V11" s="1370">
        <f>(V7-V9-V10)</f>
        <v>940049.32371545571</v>
      </c>
      <c r="W11" s="1370">
        <f>(W7-W9-W10)</f>
        <v>904114.93665549892</v>
      </c>
      <c r="X11"/>
      <c r="Y11"/>
      <c r="Z11"/>
      <c r="AA11"/>
      <c r="AB11"/>
      <c r="AC11"/>
      <c r="AD11"/>
      <c r="AE11"/>
    </row>
    <row r="12" spans="2:32" ht="18" customHeight="1" outlineLevel="1" thickTop="1">
      <c r="B12" s="1343" t="s">
        <v>885</v>
      </c>
      <c r="C12" s="1050"/>
      <c r="D12" s="1056">
        <f t="shared" ref="D12:P12" si="12">IFERROR(D11/D5,"")</f>
        <v>9.5085029339771088E-2</v>
      </c>
      <c r="E12" s="1056">
        <f t="shared" si="12"/>
        <v>-0.3069815059866719</v>
      </c>
      <c r="F12" s="1056">
        <f t="shared" si="12"/>
        <v>-2.0181054000753498E-2</v>
      </c>
      <c r="G12" s="1056">
        <f t="shared" si="12"/>
        <v>0.25596089726061105</v>
      </c>
      <c r="H12" s="1056">
        <f t="shared" si="12"/>
        <v>3.806873493647995E-3</v>
      </c>
      <c r="I12" s="1056">
        <f t="shared" si="12"/>
        <v>0.20571346989112604</v>
      </c>
      <c r="J12" s="1056">
        <f t="shared" si="12"/>
        <v>0.37987454681807736</v>
      </c>
      <c r="K12" s="1056">
        <f t="shared" si="12"/>
        <v>-0.3425001047100244</v>
      </c>
      <c r="L12" s="1056">
        <f t="shared" si="12"/>
        <v>0.11740425271419791</v>
      </c>
      <c r="M12" s="1056">
        <f t="shared" si="12"/>
        <v>3.2238778966194342E-2</v>
      </c>
      <c r="N12" s="1056">
        <f t="shared" si="12"/>
        <v>4.5992338590347827E-2</v>
      </c>
      <c r="O12" s="1056">
        <f t="shared" si="12"/>
        <v>0.15120936866888096</v>
      </c>
      <c r="P12" s="1056">
        <f t="shared" si="12"/>
        <v>0.2507380039291528</v>
      </c>
      <c r="R12" s="1050"/>
      <c r="S12" s="1056">
        <f>IFERROR(S11/S5,"")</f>
        <v>9.5085029339771171E-2</v>
      </c>
      <c r="T12" s="1056">
        <f t="shared" ref="T12:W12" si="13">IFERROR(T11/T5,"")</f>
        <v>-5.0804815232340124</v>
      </c>
      <c r="U12" s="1056">
        <f t="shared" si="13"/>
        <v>0.17328883614295884</v>
      </c>
      <c r="V12" s="1056">
        <f t="shared" si="13"/>
        <v>0.16424020427785094</v>
      </c>
      <c r="W12" s="1056">
        <f t="shared" si="13"/>
        <v>0.17614749554935838</v>
      </c>
      <c r="X12"/>
      <c r="Y12"/>
      <c r="Z12"/>
      <c r="AA12"/>
      <c r="AB12"/>
      <c r="AC12"/>
      <c r="AD12"/>
      <c r="AE12"/>
    </row>
    <row r="13" spans="2:32" ht="18" customHeight="1">
      <c r="B13" s="1343" t="s">
        <v>885</v>
      </c>
      <c r="C13" s="1065" t="s">
        <v>728</v>
      </c>
      <c r="D13" s="1066">
        <f t="shared" ref="D13" si="14">IF(SUM(E13:P13)&gt;0,SUM(E13:P13),"")</f>
        <v>298832.17000000004</v>
      </c>
      <c r="E13" s="1067">
        <f>(E55+E99+E168+E230)</f>
        <v>0</v>
      </c>
      <c r="F13" s="1067">
        <f t="shared" ref="F13:P13" si="15">(F55+F99+F168+F230)</f>
        <v>0</v>
      </c>
      <c r="G13" s="1067">
        <f t="shared" si="15"/>
        <v>0</v>
      </c>
      <c r="H13" s="1067">
        <f t="shared" si="15"/>
        <v>0</v>
      </c>
      <c r="I13" s="1067">
        <f t="shared" si="15"/>
        <v>4640</v>
      </c>
      <c r="J13" s="1067">
        <f t="shared" si="15"/>
        <v>62843.1</v>
      </c>
      <c r="K13" s="1067">
        <f t="shared" si="15"/>
        <v>1675</v>
      </c>
      <c r="L13" s="1067">
        <f t="shared" si="15"/>
        <v>63377.110000000008</v>
      </c>
      <c r="M13" s="1067">
        <f t="shared" si="15"/>
        <v>30257.760000000002</v>
      </c>
      <c r="N13" s="1067">
        <f t="shared" si="15"/>
        <v>131750.35999999999</v>
      </c>
      <c r="O13" s="1067">
        <f t="shared" si="15"/>
        <v>1316</v>
      </c>
      <c r="P13" s="1067">
        <f t="shared" si="15"/>
        <v>2972.84</v>
      </c>
      <c r="R13" s="1065" t="s">
        <v>976</v>
      </c>
      <c r="S13" s="1066">
        <f>(D13)</f>
        <v>298832.17000000004</v>
      </c>
      <c r="T13" s="1067">
        <f>(D55)</f>
        <v>11500</v>
      </c>
      <c r="U13" s="1067" t="str">
        <f>(D99)</f>
        <v/>
      </c>
      <c r="V13" s="1067">
        <f>(D168)</f>
        <v>66824.710000000006</v>
      </c>
      <c r="W13" s="1067">
        <f>(D230)</f>
        <v>220507.46</v>
      </c>
      <c r="X13"/>
      <c r="Y13"/>
      <c r="Z13"/>
      <c r="AA13"/>
      <c r="AB13"/>
      <c r="AC13"/>
      <c r="AD13"/>
      <c r="AE13"/>
    </row>
    <row r="14" spans="2:32" ht="18" customHeight="1">
      <c r="C14" s="834"/>
      <c r="D14" s="82"/>
      <c r="E14" s="82"/>
      <c r="F14" s="82"/>
      <c r="G14" s="82"/>
      <c r="H14" s="82"/>
      <c r="I14" s="82"/>
      <c r="J14" s="82"/>
      <c r="K14" s="82"/>
      <c r="L14" s="82"/>
      <c r="M14" s="82"/>
      <c r="N14" s="82"/>
      <c r="O14" s="82"/>
      <c r="P14" s="82"/>
      <c r="R14" s="834"/>
      <c r="S14" s="82"/>
      <c r="T14" s="82"/>
      <c r="U14" s="82"/>
      <c r="V14" s="82"/>
      <c r="W14" s="82"/>
      <c r="X14" s="82"/>
      <c r="Y14" s="82"/>
      <c r="Z14" s="82"/>
      <c r="AA14" s="82"/>
      <c r="AB14" s="82"/>
      <c r="AC14" s="82"/>
      <c r="AD14" s="82"/>
      <c r="AE14" s="82"/>
    </row>
    <row r="15" spans="2:32" ht="18" customHeight="1">
      <c r="E15" s="1247">
        <v>370</v>
      </c>
      <c r="F15" s="1247">
        <v>379</v>
      </c>
      <c r="G15" s="1247">
        <v>384</v>
      </c>
      <c r="H15" s="1247">
        <v>401</v>
      </c>
      <c r="I15" s="1247">
        <v>409</v>
      </c>
      <c r="J15" s="1247">
        <v>426</v>
      </c>
      <c r="K15" s="1247">
        <v>427</v>
      </c>
      <c r="L15" s="1247">
        <v>494</v>
      </c>
      <c r="M15" s="1247">
        <v>511</v>
      </c>
      <c r="N15" s="1247">
        <v>493</v>
      </c>
      <c r="O15" s="1247">
        <v>481</v>
      </c>
      <c r="P15" s="1247">
        <v>480</v>
      </c>
      <c r="S15"/>
      <c r="T15"/>
      <c r="U15"/>
      <c r="V15"/>
      <c r="W15"/>
      <c r="X15"/>
      <c r="Y15"/>
      <c r="Z15"/>
      <c r="AA15"/>
      <c r="AB15"/>
      <c r="AC15"/>
      <c r="AD15"/>
      <c r="AE15"/>
    </row>
    <row r="16" spans="2:32" s="1294" customFormat="1" ht="18" customHeight="1">
      <c r="B16" s="1139" t="s">
        <v>730</v>
      </c>
      <c r="C16" s="1344" t="s">
        <v>731</v>
      </c>
      <c r="D16" s="1032">
        <f>IFERROR(SUM(D17:D18),"")</f>
        <v>3542.8689999999997</v>
      </c>
      <c r="E16" s="1032">
        <f>SUM(E17:E18)</f>
        <v>145.61999999999989</v>
      </c>
      <c r="F16" s="1032">
        <f>SUM(F17:F18)</f>
        <v>326.8</v>
      </c>
      <c r="G16" s="1032">
        <f>SUM(G17:G18)</f>
        <v>98.1</v>
      </c>
      <c r="H16" s="1032">
        <f>SUM(H17:H18)</f>
        <v>304.61599999999993</v>
      </c>
      <c r="I16" s="1032">
        <f t="shared" ref="I16:P16" si="16">SUM(I17:I18)</f>
        <v>222.76299999999998</v>
      </c>
      <c r="J16" s="1032">
        <f t="shared" si="16"/>
        <v>406.59000000000003</v>
      </c>
      <c r="K16" s="1032">
        <f t="shared" si="16"/>
        <v>701.4</v>
      </c>
      <c r="L16" s="1032">
        <f t="shared" si="16"/>
        <v>599.49</v>
      </c>
      <c r="M16" s="1032">
        <f t="shared" si="16"/>
        <v>0</v>
      </c>
      <c r="N16" s="1032">
        <f t="shared" si="16"/>
        <v>0</v>
      </c>
      <c r="O16" s="1032">
        <f t="shared" si="16"/>
        <v>737.49</v>
      </c>
      <c r="P16" s="1032">
        <f t="shared" si="16"/>
        <v>0</v>
      </c>
      <c r="R16"/>
      <c r="S16"/>
      <c r="T16"/>
      <c r="U16"/>
      <c r="V16"/>
      <c r="W16"/>
      <c r="X16"/>
      <c r="Y16"/>
      <c r="Z16"/>
      <c r="AA16"/>
      <c r="AB16"/>
      <c r="AC16"/>
      <c r="AD16"/>
      <c r="AE16"/>
      <c r="AF16"/>
    </row>
    <row r="17" spans="2:32" s="790" customFormat="1" ht="18" customHeight="1" outlineLevel="1">
      <c r="B17" s="1139" t="s">
        <v>730</v>
      </c>
      <c r="C17" s="1061" t="s">
        <v>745</v>
      </c>
      <c r="D17" s="1062" t="str">
        <f>IFERROR(AVERAGE(E17:P17),"")</f>
        <v/>
      </c>
      <c r="E17" s="1062"/>
      <c r="F17" s="1062"/>
      <c r="G17" s="1062"/>
      <c r="H17" s="1062"/>
      <c r="I17" s="1062"/>
      <c r="J17" s="1062"/>
      <c r="K17" s="1062"/>
      <c r="L17" s="1062"/>
      <c r="M17" s="1062"/>
      <c r="N17" s="1062"/>
      <c r="O17" s="1062"/>
      <c r="P17" s="1062"/>
      <c r="R17"/>
      <c r="S17"/>
      <c r="T17"/>
      <c r="U17"/>
      <c r="V17"/>
      <c r="W17"/>
      <c r="X17"/>
      <c r="Y17"/>
      <c r="Z17"/>
      <c r="AA17"/>
      <c r="AB17"/>
      <c r="AC17"/>
      <c r="AD17"/>
      <c r="AE17"/>
      <c r="AF17"/>
    </row>
    <row r="18" spans="2:32" s="790" customFormat="1" ht="18" customHeight="1" outlineLevel="1">
      <c r="B18" s="1139" t="s">
        <v>730</v>
      </c>
      <c r="C18" s="1063" t="s">
        <v>744</v>
      </c>
      <c r="D18" s="1064">
        <f>IFERROR(SUM(E18:P18),"")</f>
        <v>3542.8689999999997</v>
      </c>
      <c r="E18" s="1064">
        <f>7419.32-7273.7</f>
        <v>145.61999999999989</v>
      </c>
      <c r="F18" s="1064">
        <v>326.8</v>
      </c>
      <c r="G18" s="1064">
        <v>98.1</v>
      </c>
      <c r="H18" s="1064">
        <v>304.61599999999993</v>
      </c>
      <c r="I18" s="1064">
        <v>222.76299999999998</v>
      </c>
      <c r="J18" s="1064">
        <v>406.59000000000003</v>
      </c>
      <c r="K18" s="1064">
        <v>701.4</v>
      </c>
      <c r="L18" s="1064">
        <v>599.49</v>
      </c>
      <c r="M18" s="1064"/>
      <c r="N18" s="1064"/>
      <c r="O18" s="1064">
        <v>737.49</v>
      </c>
      <c r="P18" s="1064"/>
      <c r="R18"/>
      <c r="S18"/>
      <c r="T18"/>
      <c r="U18"/>
      <c r="V18"/>
      <c r="W18"/>
      <c r="X18"/>
      <c r="Y18"/>
      <c r="Z18"/>
      <c r="AA18"/>
      <c r="AB18"/>
      <c r="AC18"/>
      <c r="AD18"/>
      <c r="AE18"/>
      <c r="AF18"/>
    </row>
    <row r="19" spans="2:32" s="1294" customFormat="1" ht="18" customHeight="1">
      <c r="B19" s="1139" t="s">
        <v>730</v>
      </c>
      <c r="C19" s="1345" t="s">
        <v>732</v>
      </c>
      <c r="D19" s="1034">
        <f>IFERROR(SUM(D20:D21),"")</f>
        <v>2184.5</v>
      </c>
      <c r="E19" s="1035">
        <f>SUM(E20:E22)</f>
        <v>222</v>
      </c>
      <c r="F19" s="1035">
        <f>SUM(F20:F22)</f>
        <v>156</v>
      </c>
      <c r="G19" s="1035">
        <f t="shared" ref="G19:O19" si="17">SUM(G20:G22)</f>
        <v>183</v>
      </c>
      <c r="H19" s="1035">
        <f t="shared" si="17"/>
        <v>40</v>
      </c>
      <c r="I19" s="1035">
        <f t="shared" si="17"/>
        <v>113</v>
      </c>
      <c r="J19" s="1035">
        <f t="shared" si="17"/>
        <v>137</v>
      </c>
      <c r="K19" s="1035">
        <f t="shared" si="17"/>
        <v>135</v>
      </c>
      <c r="L19" s="1035">
        <f t="shared" si="17"/>
        <v>73</v>
      </c>
      <c r="M19" s="1035">
        <f t="shared" si="17"/>
        <v>107</v>
      </c>
      <c r="N19" s="1035">
        <f t="shared" si="17"/>
        <v>580.5</v>
      </c>
      <c r="O19" s="1035">
        <f t="shared" si="17"/>
        <v>218</v>
      </c>
      <c r="P19" s="1035">
        <f>SUM(P20:P22)</f>
        <v>220</v>
      </c>
      <c r="R19"/>
      <c r="S19"/>
      <c r="T19"/>
      <c r="U19"/>
      <c r="V19"/>
      <c r="W19"/>
      <c r="X19"/>
      <c r="Y19"/>
      <c r="Z19"/>
      <c r="AA19"/>
      <c r="AB19"/>
      <c r="AC19"/>
      <c r="AD19"/>
      <c r="AE19"/>
      <c r="AF19"/>
    </row>
    <row r="20" spans="2:32" ht="18" customHeight="1" outlineLevel="1">
      <c r="B20" s="1139" t="s">
        <v>730</v>
      </c>
      <c r="C20" s="158" t="s">
        <v>750</v>
      </c>
      <c r="D20" s="1062">
        <f>IFERROR(AVERAGE(E20:P20),"")</f>
        <v>0</v>
      </c>
      <c r="E20" s="674">
        <f>(E17)</f>
        <v>0</v>
      </c>
      <c r="F20" s="1247">
        <f t="shared" ref="F20:P20" si="18">(F17)</f>
        <v>0</v>
      </c>
      <c r="G20" s="1247">
        <f t="shared" si="18"/>
        <v>0</v>
      </c>
      <c r="H20" s="1247">
        <f t="shared" si="18"/>
        <v>0</v>
      </c>
      <c r="I20" s="1247">
        <f t="shared" si="18"/>
        <v>0</v>
      </c>
      <c r="J20" s="1247">
        <f t="shared" si="18"/>
        <v>0</v>
      </c>
      <c r="K20" s="1247">
        <f t="shared" si="18"/>
        <v>0</v>
      </c>
      <c r="L20" s="1247">
        <f t="shared" si="18"/>
        <v>0</v>
      </c>
      <c r="M20" s="1247">
        <f t="shared" si="18"/>
        <v>0</v>
      </c>
      <c r="N20" s="1247">
        <f t="shared" si="18"/>
        <v>0</v>
      </c>
      <c r="O20" s="1247">
        <f t="shared" si="18"/>
        <v>0</v>
      </c>
      <c r="P20" s="1247">
        <f t="shared" si="18"/>
        <v>0</v>
      </c>
      <c r="S20"/>
      <c r="T20"/>
      <c r="U20"/>
      <c r="V20"/>
      <c r="W20"/>
      <c r="X20"/>
      <c r="Y20"/>
      <c r="Z20"/>
      <c r="AA20"/>
      <c r="AB20"/>
      <c r="AC20"/>
      <c r="AD20"/>
      <c r="AE20"/>
    </row>
    <row r="21" spans="2:32" ht="18" customHeight="1" outlineLevel="1">
      <c r="B21" s="1139" t="s">
        <v>730</v>
      </c>
      <c r="C21" s="158" t="s">
        <v>749</v>
      </c>
      <c r="D21" s="674">
        <f>IFERROR(SUM(E21:P21),"")</f>
        <v>2184.5</v>
      </c>
      <c r="E21" s="1247">
        <v>222</v>
      </c>
      <c r="F21" s="1247">
        <v>156</v>
      </c>
      <c r="G21" s="1247">
        <v>183</v>
      </c>
      <c r="H21" s="1247">
        <v>40</v>
      </c>
      <c r="I21" s="1247">
        <v>113</v>
      </c>
      <c r="J21" s="1247">
        <v>137</v>
      </c>
      <c r="K21" s="1247">
        <v>135</v>
      </c>
      <c r="L21" s="1247">
        <v>73</v>
      </c>
      <c r="M21" s="1247">
        <v>107</v>
      </c>
      <c r="N21" s="1247">
        <v>580.5</v>
      </c>
      <c r="O21" s="1247">
        <v>218</v>
      </c>
      <c r="P21" s="1247">
        <v>220</v>
      </c>
      <c r="S21"/>
      <c r="T21"/>
      <c r="U21"/>
      <c r="V21"/>
      <c r="W21"/>
      <c r="X21"/>
      <c r="Y21"/>
      <c r="Z21"/>
      <c r="AA21"/>
      <c r="AB21"/>
      <c r="AC21"/>
      <c r="AD21"/>
      <c r="AE21"/>
    </row>
    <row r="22" spans="2:32" ht="18" customHeight="1" outlineLevel="1">
      <c r="B22" s="1139" t="s">
        <v>730</v>
      </c>
      <c r="C22" s="158" t="s">
        <v>751</v>
      </c>
      <c r="D22" s="674">
        <f>IFERROR(SUM(E22:P22),"")</f>
        <v>0</v>
      </c>
      <c r="S22"/>
      <c r="T22"/>
      <c r="U22"/>
      <c r="V22"/>
      <c r="W22"/>
      <c r="X22"/>
      <c r="Y22"/>
      <c r="Z22"/>
      <c r="AA22"/>
      <c r="AB22"/>
      <c r="AC22"/>
      <c r="AD22"/>
      <c r="AE22"/>
    </row>
    <row r="23" spans="2:32" ht="18" customHeight="1" outlineLevel="1">
      <c r="B23" s="1139" t="s">
        <v>730</v>
      </c>
      <c r="C23" s="158" t="s">
        <v>734</v>
      </c>
      <c r="D23" s="674">
        <f>IFERROR(SUM(E23:P23),"")</f>
        <v>55</v>
      </c>
      <c r="E23" s="1247">
        <v>17</v>
      </c>
      <c r="F23" s="1247">
        <v>19</v>
      </c>
      <c r="G23" s="1247">
        <v>1</v>
      </c>
      <c r="H23" s="1247">
        <v>1</v>
      </c>
      <c r="I23" s="1247">
        <v>4</v>
      </c>
      <c r="J23" s="1247">
        <v>1</v>
      </c>
      <c r="K23" s="1247">
        <v>1.5</v>
      </c>
      <c r="M23" s="1247">
        <v>9.5</v>
      </c>
      <c r="N23" s="1247">
        <v>1</v>
      </c>
      <c r="S23"/>
      <c r="T23"/>
      <c r="U23"/>
      <c r="V23"/>
      <c r="W23"/>
      <c r="X23"/>
      <c r="Y23"/>
      <c r="Z23"/>
      <c r="AA23"/>
      <c r="AB23"/>
      <c r="AC23"/>
      <c r="AD23"/>
      <c r="AE23"/>
    </row>
    <row r="24" spans="2:32" ht="18" customHeight="1" outlineLevel="1">
      <c r="B24" s="1139" t="s">
        <v>730</v>
      </c>
      <c r="C24" s="158" t="s">
        <v>748</v>
      </c>
      <c r="D24" s="480" t="str">
        <f>IFERROR(AVERAGE(E24:P24),"")</f>
        <v/>
      </c>
      <c r="E24" s="480"/>
      <c r="F24" s="480"/>
      <c r="G24" s="480"/>
      <c r="H24" s="480"/>
      <c r="I24" s="480"/>
      <c r="J24" s="480"/>
      <c r="K24" s="480"/>
      <c r="L24" s="480"/>
      <c r="M24" s="480"/>
      <c r="N24" s="480"/>
      <c r="O24" s="480"/>
      <c r="P24" s="480"/>
      <c r="S24"/>
      <c r="T24"/>
      <c r="U24"/>
      <c r="V24"/>
      <c r="W24"/>
      <c r="X24"/>
      <c r="Y24"/>
      <c r="Z24"/>
      <c r="AA24"/>
      <c r="AB24"/>
      <c r="AC24"/>
      <c r="AD24"/>
      <c r="AE24"/>
    </row>
    <row r="25" spans="2:32" ht="18" customHeight="1" outlineLevel="1">
      <c r="B25" s="1139" t="s">
        <v>730</v>
      </c>
      <c r="C25" s="158" t="s">
        <v>735</v>
      </c>
      <c r="D25" s="480">
        <f>IFERROR(AVERAGE(E25:P25),"")</f>
        <v>82.625</v>
      </c>
      <c r="E25" s="480">
        <v>82.5</v>
      </c>
      <c r="F25" s="480">
        <v>82.5</v>
      </c>
      <c r="G25" s="480">
        <v>82.5</v>
      </c>
      <c r="H25" s="480">
        <v>82.5</v>
      </c>
      <c r="I25" s="480">
        <v>82.5</v>
      </c>
      <c r="J25" s="480">
        <v>82.5</v>
      </c>
      <c r="K25" s="480">
        <v>82</v>
      </c>
      <c r="L25" s="480">
        <v>82</v>
      </c>
      <c r="M25" s="480">
        <v>82.5</v>
      </c>
      <c r="N25" s="480">
        <v>82.5</v>
      </c>
      <c r="O25" s="480">
        <v>82.5</v>
      </c>
      <c r="P25" s="480">
        <v>85</v>
      </c>
      <c r="S25"/>
      <c r="T25"/>
      <c r="U25"/>
      <c r="V25"/>
      <c r="W25"/>
      <c r="X25"/>
      <c r="Y25"/>
      <c r="Z25"/>
      <c r="AA25"/>
      <c r="AB25"/>
      <c r="AC25"/>
      <c r="AD25"/>
      <c r="AE25"/>
    </row>
    <row r="26" spans="2:32" ht="18" customHeight="1" outlineLevel="1">
      <c r="B26" s="1139" t="s">
        <v>730</v>
      </c>
      <c r="C26" s="158" t="s">
        <v>747</v>
      </c>
      <c r="D26" s="480">
        <f>IFERROR(AVERAGE(E26:P26),"")</f>
        <v>82.416666666666671</v>
      </c>
      <c r="E26" s="480">
        <v>82.5</v>
      </c>
      <c r="F26" s="480">
        <v>82.5</v>
      </c>
      <c r="G26" s="480">
        <v>82.5</v>
      </c>
      <c r="H26" s="480">
        <v>82.5</v>
      </c>
      <c r="I26" s="480">
        <v>82.5</v>
      </c>
      <c r="J26" s="480">
        <v>82.5</v>
      </c>
      <c r="K26" s="480">
        <v>82</v>
      </c>
      <c r="L26" s="480">
        <v>82</v>
      </c>
      <c r="M26" s="480">
        <v>82.5</v>
      </c>
      <c r="N26" s="480">
        <v>82.5</v>
      </c>
      <c r="O26" s="480">
        <v>82.5</v>
      </c>
      <c r="P26" s="480">
        <v>82.5</v>
      </c>
      <c r="S26"/>
      <c r="T26"/>
      <c r="U26"/>
      <c r="V26"/>
      <c r="W26"/>
      <c r="X26"/>
      <c r="Y26"/>
      <c r="Z26"/>
      <c r="AA26"/>
      <c r="AB26"/>
      <c r="AC26"/>
      <c r="AD26"/>
      <c r="AE26"/>
    </row>
    <row r="27" spans="2:32" s="1294" customFormat="1" ht="18" customHeight="1">
      <c r="B27" s="1139" t="s">
        <v>730</v>
      </c>
      <c r="C27" s="1345" t="s">
        <v>736</v>
      </c>
      <c r="D27" s="1039">
        <f>IFERROR(SUM(E27:P27),"")</f>
        <v>180667.25</v>
      </c>
      <c r="E27" s="1039">
        <f>SUM(E28:E30)</f>
        <v>18315</v>
      </c>
      <c r="F27" s="1039">
        <f>SUM(F28:F30)</f>
        <v>12870</v>
      </c>
      <c r="G27" s="1039">
        <f t="shared" ref="G27:P27" si="19">SUM(G28:G30)</f>
        <v>15097.5</v>
      </c>
      <c r="H27" s="1039">
        <f t="shared" si="19"/>
        <v>3300</v>
      </c>
      <c r="I27" s="1039">
        <f t="shared" si="19"/>
        <v>9322.5</v>
      </c>
      <c r="J27" s="1039">
        <f t="shared" si="19"/>
        <v>11302.5</v>
      </c>
      <c r="K27" s="1039">
        <f t="shared" si="19"/>
        <v>11070</v>
      </c>
      <c r="L27" s="1039">
        <f t="shared" si="19"/>
        <v>5986</v>
      </c>
      <c r="M27" s="1039">
        <f t="shared" si="19"/>
        <v>8827.5</v>
      </c>
      <c r="N27" s="1039">
        <f t="shared" si="19"/>
        <v>47891.25</v>
      </c>
      <c r="O27" s="1039">
        <f t="shared" si="19"/>
        <v>17985</v>
      </c>
      <c r="P27" s="1039">
        <f t="shared" si="19"/>
        <v>18700</v>
      </c>
      <c r="R27"/>
      <c r="S27"/>
      <c r="T27"/>
      <c r="U27"/>
      <c r="V27"/>
      <c r="W27"/>
      <c r="X27"/>
      <c r="Y27"/>
      <c r="Z27"/>
      <c r="AA27"/>
      <c r="AB27"/>
      <c r="AC27"/>
      <c r="AD27"/>
      <c r="AE27"/>
      <c r="AF27"/>
    </row>
    <row r="28" spans="2:32" ht="18" customHeight="1" outlineLevel="1">
      <c r="B28" s="1139" t="s">
        <v>730</v>
      </c>
      <c r="C28" s="158" t="s">
        <v>746</v>
      </c>
      <c r="D28" s="1037" t="str">
        <f>IF(SUM(E28:P28)&gt;0,SUM(E28:P28),"")</f>
        <v/>
      </c>
      <c r="E28" s="1037" t="str">
        <f>IF((E24*E20)&gt;0,(E24*E20),"")</f>
        <v/>
      </c>
      <c r="F28" s="1037" t="str">
        <f t="shared" ref="F28:P30" si="20">IF((F24*F20)&gt;0,(F24*F20),"")</f>
        <v/>
      </c>
      <c r="G28" s="1037" t="str">
        <f t="shared" si="20"/>
        <v/>
      </c>
      <c r="H28" s="1037" t="str">
        <f t="shared" si="20"/>
        <v/>
      </c>
      <c r="I28" s="1037" t="str">
        <f t="shared" si="20"/>
        <v/>
      </c>
      <c r="J28" s="1037" t="str">
        <f t="shared" si="20"/>
        <v/>
      </c>
      <c r="K28" s="1037" t="str">
        <f t="shared" si="20"/>
        <v/>
      </c>
      <c r="L28" s="1037" t="str">
        <f t="shared" si="20"/>
        <v/>
      </c>
      <c r="M28" s="1037" t="str">
        <f t="shared" si="20"/>
        <v/>
      </c>
      <c r="N28" s="1037" t="str">
        <f t="shared" si="20"/>
        <v/>
      </c>
      <c r="O28" s="1037" t="str">
        <f t="shared" si="20"/>
        <v/>
      </c>
      <c r="P28" s="1037" t="str">
        <f t="shared" si="20"/>
        <v/>
      </c>
      <c r="S28"/>
      <c r="T28"/>
      <c r="U28"/>
      <c r="V28"/>
      <c r="W28"/>
      <c r="X28"/>
      <c r="Y28"/>
      <c r="Z28"/>
      <c r="AA28"/>
      <c r="AB28"/>
      <c r="AC28"/>
      <c r="AD28"/>
      <c r="AE28"/>
    </row>
    <row r="29" spans="2:32" ht="18" customHeight="1" outlineLevel="1">
      <c r="B29" s="1139" t="s">
        <v>730</v>
      </c>
      <c r="C29" s="158" t="s">
        <v>733</v>
      </c>
      <c r="D29" s="1037">
        <f t="shared" ref="D29:D30" si="21">IF(SUM(E29:P29)&gt;0,SUM(E29:P29),"")</f>
        <v>180667.25</v>
      </c>
      <c r="E29" s="1037">
        <f>IF((E25*E21)&gt;0,(E25*E21),"")</f>
        <v>18315</v>
      </c>
      <c r="F29" s="1037">
        <f t="shared" si="20"/>
        <v>12870</v>
      </c>
      <c r="G29" s="1037">
        <f t="shared" si="20"/>
        <v>15097.5</v>
      </c>
      <c r="H29" s="1037">
        <f t="shared" si="20"/>
        <v>3300</v>
      </c>
      <c r="I29" s="1037">
        <f t="shared" si="20"/>
        <v>9322.5</v>
      </c>
      <c r="J29" s="1037">
        <f t="shared" si="20"/>
        <v>11302.5</v>
      </c>
      <c r="K29" s="1037">
        <f t="shared" si="20"/>
        <v>11070</v>
      </c>
      <c r="L29" s="1037">
        <f t="shared" si="20"/>
        <v>5986</v>
      </c>
      <c r="M29" s="1037">
        <f t="shared" si="20"/>
        <v>8827.5</v>
      </c>
      <c r="N29" s="1037">
        <f t="shared" si="20"/>
        <v>47891.25</v>
      </c>
      <c r="O29" s="1037">
        <f t="shared" si="20"/>
        <v>17985</v>
      </c>
      <c r="P29" s="1037">
        <f t="shared" si="20"/>
        <v>18700</v>
      </c>
      <c r="S29"/>
      <c r="T29"/>
      <c r="U29"/>
      <c r="V29"/>
      <c r="W29"/>
      <c r="X29"/>
      <c r="Y29"/>
      <c r="Z29"/>
      <c r="AA29"/>
      <c r="AB29"/>
      <c r="AC29"/>
      <c r="AD29"/>
      <c r="AE29"/>
    </row>
    <row r="30" spans="2:32" ht="18" customHeight="1" outlineLevel="1">
      <c r="B30" s="1139" t="s">
        <v>730</v>
      </c>
      <c r="C30" s="158" t="s">
        <v>737</v>
      </c>
      <c r="D30" s="1037" t="str">
        <f t="shared" si="21"/>
        <v/>
      </c>
      <c r="E30" s="1037" t="str">
        <f>IF((E26*E22)&gt;0,(E26*E22),"")</f>
        <v/>
      </c>
      <c r="F30" s="1037" t="str">
        <f t="shared" si="20"/>
        <v/>
      </c>
      <c r="G30" s="1037" t="str">
        <f t="shared" si="20"/>
        <v/>
      </c>
      <c r="H30" s="1037" t="str">
        <f t="shared" si="20"/>
        <v/>
      </c>
      <c r="I30" s="1037" t="str">
        <f t="shared" si="20"/>
        <v/>
      </c>
      <c r="J30" s="1037" t="str">
        <f t="shared" si="20"/>
        <v/>
      </c>
      <c r="K30" s="1037" t="str">
        <f t="shared" si="20"/>
        <v/>
      </c>
      <c r="L30" s="1037" t="str">
        <f t="shared" si="20"/>
        <v/>
      </c>
      <c r="M30" s="1037" t="str">
        <f t="shared" si="20"/>
        <v/>
      </c>
      <c r="N30" s="1037" t="str">
        <f t="shared" si="20"/>
        <v/>
      </c>
      <c r="O30" s="1037" t="str">
        <f t="shared" si="20"/>
        <v/>
      </c>
      <c r="P30" s="1037" t="str">
        <f t="shared" si="20"/>
        <v/>
      </c>
      <c r="S30"/>
      <c r="T30"/>
      <c r="U30"/>
      <c r="V30"/>
      <c r="W30"/>
      <c r="X30"/>
      <c r="Y30"/>
      <c r="Z30"/>
      <c r="AA30"/>
      <c r="AB30"/>
      <c r="AC30"/>
      <c r="AD30"/>
      <c r="AE30"/>
    </row>
    <row r="31" spans="2:32" s="1294" customFormat="1" ht="18" customHeight="1">
      <c r="B31" s="1139" t="s">
        <v>730</v>
      </c>
      <c r="C31" s="1345" t="s">
        <v>738</v>
      </c>
      <c r="D31" s="1040">
        <f>IFERROR(SUM(E31:P31),"")</f>
        <v>705770.11929000006</v>
      </c>
      <c r="E31" s="1040">
        <f t="shared" ref="E31:P31" si="22">SUM(E32:E41)</f>
        <v>47470.400000000001</v>
      </c>
      <c r="F31" s="1040">
        <f>SUM(F32:F41)</f>
        <v>47422.083700000003</v>
      </c>
      <c r="G31" s="1040">
        <f t="shared" si="22"/>
        <v>57669.395410000005</v>
      </c>
      <c r="H31" s="1040">
        <f t="shared" si="22"/>
        <v>47693.85</v>
      </c>
      <c r="I31" s="1040">
        <f t="shared" si="22"/>
        <v>47919.82</v>
      </c>
      <c r="J31" s="1040">
        <f t="shared" si="22"/>
        <v>57576.14</v>
      </c>
      <c r="K31" s="1040">
        <f t="shared" si="22"/>
        <v>62104.619679999996</v>
      </c>
      <c r="L31" s="1040">
        <f t="shared" si="22"/>
        <v>92606.63</v>
      </c>
      <c r="M31" s="1040">
        <f t="shared" si="22"/>
        <v>54204.980499999998</v>
      </c>
      <c r="N31" s="1040">
        <f t="shared" si="22"/>
        <v>65492.840000000004</v>
      </c>
      <c r="O31" s="1040">
        <f t="shared" si="22"/>
        <v>80664.070000000007</v>
      </c>
      <c r="P31" s="1040">
        <f t="shared" si="22"/>
        <v>44945.290000000008</v>
      </c>
      <c r="R31"/>
      <c r="S31"/>
      <c r="T31"/>
      <c r="U31"/>
      <c r="V31"/>
      <c r="W31"/>
      <c r="X31"/>
      <c r="Y31"/>
      <c r="Z31"/>
      <c r="AA31"/>
      <c r="AB31"/>
      <c r="AC31"/>
      <c r="AD31"/>
      <c r="AE31"/>
      <c r="AF31"/>
    </row>
    <row r="32" spans="2:32" ht="18" customHeight="1" outlineLevel="1">
      <c r="B32" s="1139" t="s">
        <v>730</v>
      </c>
      <c r="C32" s="1028" t="s">
        <v>722</v>
      </c>
      <c r="D32" s="1041">
        <f t="shared" ref="D32:D59" si="23">IF(SUM(E32:P32)&gt;0,SUM(E32:P32),"")</f>
        <v>33000</v>
      </c>
      <c r="E32" s="1036"/>
      <c r="F32" s="1036"/>
      <c r="G32" s="1036"/>
      <c r="H32" s="1036"/>
      <c r="I32" s="1036"/>
      <c r="J32" s="1036"/>
      <c r="K32" s="1038">
        <v>6600</v>
      </c>
      <c r="L32" s="1038">
        <v>13200</v>
      </c>
      <c r="M32" s="1038">
        <v>6600</v>
      </c>
      <c r="N32" s="1038">
        <v>6600</v>
      </c>
      <c r="O32" s="1038"/>
      <c r="P32" s="1038"/>
      <c r="S32"/>
      <c r="T32"/>
      <c r="U32"/>
      <c r="V32"/>
      <c r="W32"/>
      <c r="X32"/>
      <c r="Y32"/>
      <c r="Z32"/>
      <c r="AA32"/>
      <c r="AB32"/>
      <c r="AC32"/>
      <c r="AD32"/>
      <c r="AE32"/>
    </row>
    <row r="33" spans="2:32" ht="18" customHeight="1" outlineLevel="1">
      <c r="B33" s="1139" t="s">
        <v>730</v>
      </c>
      <c r="C33" s="1028" t="s">
        <v>723</v>
      </c>
      <c r="D33" s="1041">
        <f t="shared" si="23"/>
        <v>33072</v>
      </c>
      <c r="E33" s="1036"/>
      <c r="F33" s="1036"/>
      <c r="G33" s="1036"/>
      <c r="H33" s="1036"/>
      <c r="I33" s="1036"/>
      <c r="J33" s="1036"/>
      <c r="K33" s="1038"/>
      <c r="L33" s="1038">
        <v>15000</v>
      </c>
      <c r="M33" s="1038">
        <v>2280</v>
      </c>
      <c r="N33" s="1038">
        <v>6768</v>
      </c>
      <c r="O33" s="1038">
        <v>9024</v>
      </c>
      <c r="P33" s="1038"/>
      <c r="S33"/>
      <c r="T33"/>
      <c r="U33"/>
      <c r="V33"/>
      <c r="W33"/>
      <c r="X33"/>
      <c r="Y33"/>
      <c r="Z33"/>
      <c r="AA33"/>
      <c r="AB33"/>
      <c r="AC33"/>
      <c r="AD33"/>
      <c r="AE33"/>
    </row>
    <row r="34" spans="2:32" ht="18" customHeight="1" outlineLevel="1">
      <c r="B34" s="1139" t="s">
        <v>730</v>
      </c>
      <c r="C34" s="1028" t="s">
        <v>724</v>
      </c>
      <c r="D34" s="1041">
        <f t="shared" si="23"/>
        <v>185</v>
      </c>
      <c r="E34" s="1036"/>
      <c r="F34" s="1036"/>
      <c r="G34" s="1036"/>
      <c r="H34" s="1036"/>
      <c r="I34" s="1036"/>
      <c r="J34" s="1036"/>
      <c r="K34" s="1038"/>
      <c r="L34" s="1038"/>
      <c r="M34" s="1038">
        <v>185</v>
      </c>
      <c r="N34" s="1038"/>
      <c r="O34" s="1038"/>
      <c r="P34" s="1038"/>
      <c r="S34"/>
      <c r="T34"/>
      <c r="U34"/>
      <c r="V34"/>
      <c r="W34"/>
      <c r="X34"/>
      <c r="Y34"/>
      <c r="Z34"/>
      <c r="AA34"/>
      <c r="AB34"/>
      <c r="AC34"/>
      <c r="AD34"/>
      <c r="AE34"/>
    </row>
    <row r="35" spans="2:32" ht="18" customHeight="1" outlineLevel="1">
      <c r="B35" s="1139" t="s">
        <v>730</v>
      </c>
      <c r="C35" s="1028" t="s">
        <v>725</v>
      </c>
      <c r="D35" s="1041">
        <f t="shared" si="23"/>
        <v>10314.56</v>
      </c>
      <c r="E35" s="1036"/>
      <c r="F35" s="1036"/>
      <c r="G35" s="1036"/>
      <c r="H35" s="1036"/>
      <c r="I35" s="1036"/>
      <c r="J35" s="1036"/>
      <c r="K35" s="1038"/>
      <c r="L35" s="1038"/>
      <c r="M35" s="1038">
        <v>139.19999999999999</v>
      </c>
      <c r="N35" s="1038"/>
      <c r="O35" s="1038">
        <v>7673.76</v>
      </c>
      <c r="P35" s="1038">
        <v>2501.6</v>
      </c>
      <c r="S35"/>
      <c r="T35"/>
      <c r="U35"/>
      <c r="V35"/>
      <c r="W35"/>
      <c r="X35"/>
      <c r="Y35"/>
      <c r="Z35"/>
      <c r="AA35"/>
      <c r="AB35"/>
      <c r="AC35"/>
      <c r="AD35"/>
      <c r="AE35"/>
    </row>
    <row r="36" spans="2:32" ht="18" customHeight="1" outlineLevel="1">
      <c r="B36" s="1139" t="s">
        <v>730</v>
      </c>
      <c r="C36" s="1028" t="s">
        <v>726</v>
      </c>
      <c r="D36" s="1041">
        <f t="shared" si="23"/>
        <v>39011.5</v>
      </c>
      <c r="E36" s="1036"/>
      <c r="F36" s="1036"/>
      <c r="G36" s="1038">
        <v>5007.5</v>
      </c>
      <c r="H36" s="1038">
        <v>4561.8900000000003</v>
      </c>
      <c r="I36" s="1036"/>
      <c r="J36" s="1036"/>
      <c r="K36" s="1038">
        <f>1239.8+5002.3</f>
        <v>6242.1</v>
      </c>
      <c r="L36" s="1038">
        <f>37.44+6329.38</f>
        <v>6366.82</v>
      </c>
      <c r="M36" s="1038">
        <v>4708.08</v>
      </c>
      <c r="N36" s="1038">
        <v>3896.0200000000004</v>
      </c>
      <c r="O36" s="1038">
        <f>813.19+5698.9</f>
        <v>6512.09</v>
      </c>
      <c r="P36" s="1038">
        <v>1717</v>
      </c>
      <c r="S36"/>
      <c r="T36"/>
      <c r="U36"/>
      <c r="V36"/>
      <c r="W36"/>
      <c r="X36"/>
      <c r="Y36"/>
      <c r="Z36"/>
      <c r="AA36"/>
      <c r="AB36"/>
      <c r="AC36"/>
      <c r="AD36"/>
      <c r="AE36"/>
    </row>
    <row r="37" spans="2:32" ht="18" customHeight="1" outlineLevel="1">
      <c r="B37" s="1139" t="s">
        <v>730</v>
      </c>
      <c r="C37" s="1028" t="s">
        <v>721</v>
      </c>
      <c r="D37" s="1041">
        <f t="shared" si="23"/>
        <v>37543.877679999998</v>
      </c>
      <c r="E37" s="1037">
        <v>0</v>
      </c>
      <c r="F37" s="1037">
        <v>6410</v>
      </c>
      <c r="G37" s="1037">
        <v>5342.3</v>
      </c>
      <c r="H37" s="1037">
        <v>475.41999999999996</v>
      </c>
      <c r="I37" s="1037">
        <v>6780</v>
      </c>
      <c r="J37" s="1037">
        <v>2280</v>
      </c>
      <c r="K37" s="1038">
        <v>1188.6496799999998</v>
      </c>
      <c r="L37" s="1038">
        <v>2300.2799999999997</v>
      </c>
      <c r="M37" s="1038">
        <v>685.22800000000007</v>
      </c>
      <c r="N37" s="1038">
        <v>4000</v>
      </c>
      <c r="O37" s="1038">
        <v>8082</v>
      </c>
      <c r="P37" s="1038"/>
      <c r="S37"/>
      <c r="T37"/>
      <c r="U37"/>
      <c r="V37"/>
      <c r="W37"/>
      <c r="X37"/>
      <c r="Y37"/>
      <c r="Z37"/>
      <c r="AA37"/>
      <c r="AB37"/>
      <c r="AC37"/>
      <c r="AD37"/>
      <c r="AE37"/>
    </row>
    <row r="38" spans="2:32" ht="18" customHeight="1" outlineLevel="1">
      <c r="B38" s="1139" t="s">
        <v>730</v>
      </c>
      <c r="C38" s="1028" t="s">
        <v>727</v>
      </c>
      <c r="D38" s="1041">
        <f t="shared" si="23"/>
        <v>5967.1399999999994</v>
      </c>
      <c r="E38" s="1036"/>
      <c r="F38" s="1036"/>
      <c r="G38" s="1036"/>
      <c r="H38" s="1036"/>
      <c r="I38" s="1036"/>
      <c r="J38" s="1036"/>
      <c r="K38" s="1038">
        <v>5967.1399999999994</v>
      </c>
      <c r="L38" s="1038"/>
      <c r="M38" s="1038"/>
      <c r="N38" s="1038"/>
      <c r="O38" s="1038"/>
      <c r="P38" s="1038"/>
      <c r="S38"/>
      <c r="T38"/>
      <c r="U38"/>
      <c r="V38"/>
      <c r="W38"/>
      <c r="X38"/>
      <c r="Y38"/>
      <c r="Z38"/>
      <c r="AA38"/>
      <c r="AB38"/>
      <c r="AC38"/>
      <c r="AD38"/>
      <c r="AE38"/>
    </row>
    <row r="39" spans="2:32" ht="18" customHeight="1" outlineLevel="1">
      <c r="B39" s="1139" t="s">
        <v>730</v>
      </c>
      <c r="C39" s="158" t="s">
        <v>717</v>
      </c>
      <c r="D39" s="1041">
        <f t="shared" si="23"/>
        <v>120965.21910999998</v>
      </c>
      <c r="E39" s="1037">
        <v>8770.4</v>
      </c>
      <c r="F39" s="1037">
        <v>8543.9737000000005</v>
      </c>
      <c r="G39" s="1037">
        <v>10773.115409999999</v>
      </c>
      <c r="H39" s="1037">
        <v>8286.51</v>
      </c>
      <c r="I39" s="1037">
        <v>9716.5300000000007</v>
      </c>
      <c r="J39" s="1037">
        <v>11095.570000000002</v>
      </c>
      <c r="K39" s="1038">
        <v>12011.839999999998</v>
      </c>
      <c r="L39" s="1038">
        <v>12317.310000000001</v>
      </c>
      <c r="M39" s="1038">
        <v>9750.48</v>
      </c>
      <c r="N39" s="1038">
        <v>7304.95</v>
      </c>
      <c r="O39" s="1038">
        <v>11272.230000000001</v>
      </c>
      <c r="P39" s="1038">
        <v>11122.310000000001</v>
      </c>
      <c r="S39"/>
      <c r="T39"/>
      <c r="U39"/>
      <c r="V39"/>
      <c r="W39"/>
      <c r="X39"/>
      <c r="Y39"/>
      <c r="Z39"/>
      <c r="AA39"/>
      <c r="AB39"/>
      <c r="AC39"/>
      <c r="AD39"/>
      <c r="AE39"/>
    </row>
    <row r="40" spans="2:32" ht="18" customHeight="1" outlineLevel="1">
      <c r="B40" s="1139" t="s">
        <v>730</v>
      </c>
      <c r="C40" s="158" t="s">
        <v>718</v>
      </c>
      <c r="D40" s="1041">
        <f t="shared" si="23"/>
        <v>356964</v>
      </c>
      <c r="E40" s="1038">
        <v>38700</v>
      </c>
      <c r="F40" s="1038">
        <v>24800</v>
      </c>
      <c r="G40" s="1038">
        <v>33100</v>
      </c>
      <c r="H40" s="1038">
        <v>26300</v>
      </c>
      <c r="I40" s="1038">
        <v>27600</v>
      </c>
      <c r="J40" s="1038">
        <v>34500</v>
      </c>
      <c r="K40" s="1038">
        <v>27600</v>
      </c>
      <c r="L40" s="1038">
        <v>33500</v>
      </c>
      <c r="M40" s="1038">
        <v>27082</v>
      </c>
      <c r="N40" s="1038">
        <v>27100</v>
      </c>
      <c r="O40" s="1038">
        <v>34400</v>
      </c>
      <c r="P40" s="1038">
        <v>22282</v>
      </c>
      <c r="S40"/>
      <c r="T40"/>
      <c r="U40"/>
      <c r="V40"/>
      <c r="W40"/>
      <c r="X40"/>
      <c r="Y40"/>
      <c r="Z40"/>
      <c r="AA40"/>
      <c r="AB40"/>
      <c r="AC40"/>
      <c r="AD40"/>
      <c r="AE40"/>
    </row>
    <row r="41" spans="2:32" ht="18" customHeight="1" outlineLevel="1">
      <c r="B41" s="1139" t="s">
        <v>730</v>
      </c>
      <c r="C41" s="158" t="s">
        <v>719</v>
      </c>
      <c r="D41" s="1041">
        <f t="shared" si="23"/>
        <v>68746.822500000009</v>
      </c>
      <c r="E41" s="1037"/>
      <c r="F41" s="1037">
        <v>7668.11</v>
      </c>
      <c r="G41" s="1037">
        <v>3446.4800000000005</v>
      </c>
      <c r="H41" s="1037">
        <v>8070.03</v>
      </c>
      <c r="I41" s="1037">
        <v>3823.2900000000004</v>
      </c>
      <c r="J41" s="1037">
        <v>9700.57</v>
      </c>
      <c r="K41" s="1038">
        <v>2494.89</v>
      </c>
      <c r="L41" s="1038">
        <v>9922.2200000000012</v>
      </c>
      <c r="M41" s="1038">
        <v>2774.9924999999998</v>
      </c>
      <c r="N41" s="1038">
        <v>9823.8700000000008</v>
      </c>
      <c r="O41" s="1038">
        <v>3699.99</v>
      </c>
      <c r="P41" s="1038">
        <v>7322.380000000001</v>
      </c>
      <c r="S41"/>
      <c r="T41"/>
      <c r="U41"/>
      <c r="V41"/>
      <c r="W41"/>
      <c r="X41"/>
      <c r="Y41"/>
      <c r="Z41"/>
      <c r="AA41"/>
      <c r="AB41"/>
      <c r="AC41"/>
      <c r="AD41"/>
      <c r="AE41"/>
    </row>
    <row r="42" spans="2:32" s="1294" customFormat="1" ht="18" customHeight="1" thickBot="1">
      <c r="B42" s="1139" t="s">
        <v>730</v>
      </c>
      <c r="C42" s="1346" t="s">
        <v>716</v>
      </c>
      <c r="D42" s="1044">
        <f>IFERROR(SUM(E42:P42),"")</f>
        <v>-525102.86929000006</v>
      </c>
      <c r="E42" s="1044">
        <f>(E27-E31)</f>
        <v>-29155.4</v>
      </c>
      <c r="F42" s="1044">
        <f t="shared" ref="F42:P42" si="24">(F27-F31)</f>
        <v>-34552.083700000003</v>
      </c>
      <c r="G42" s="1044">
        <f t="shared" si="24"/>
        <v>-42571.895410000005</v>
      </c>
      <c r="H42" s="1044">
        <f t="shared" si="24"/>
        <v>-44393.85</v>
      </c>
      <c r="I42" s="1044">
        <f t="shared" si="24"/>
        <v>-38597.32</v>
      </c>
      <c r="J42" s="1044">
        <f t="shared" si="24"/>
        <v>-46273.64</v>
      </c>
      <c r="K42" s="1044">
        <f t="shared" si="24"/>
        <v>-51034.619679999996</v>
      </c>
      <c r="L42" s="1044">
        <f t="shared" si="24"/>
        <v>-86620.63</v>
      </c>
      <c r="M42" s="1044">
        <f t="shared" si="24"/>
        <v>-45377.480499999998</v>
      </c>
      <c r="N42" s="1044">
        <f t="shared" si="24"/>
        <v>-17601.590000000004</v>
      </c>
      <c r="O42" s="1044">
        <f t="shared" si="24"/>
        <v>-62679.070000000007</v>
      </c>
      <c r="P42" s="1044">
        <f t="shared" si="24"/>
        <v>-26245.290000000008</v>
      </c>
      <c r="R42"/>
      <c r="S42"/>
      <c r="T42"/>
      <c r="U42"/>
      <c r="V42"/>
      <c r="W42"/>
      <c r="X42"/>
      <c r="Y42"/>
      <c r="Z42"/>
      <c r="AA42"/>
      <c r="AB42"/>
      <c r="AC42"/>
      <c r="AD42"/>
      <c r="AE42"/>
      <c r="AF42"/>
    </row>
    <row r="43" spans="2:32" ht="15.75" outlineLevel="1" thickTop="1">
      <c r="B43" s="1139" t="s">
        <v>730</v>
      </c>
      <c r="C43" s="1049"/>
      <c r="D43" s="1049">
        <f>IFERROR(D42/D27,"")</f>
        <v>-2.9064640619149298</v>
      </c>
      <c r="E43" s="1049">
        <f t="shared" ref="E43:P43" si="25">IFERROR(E42/E27,"")</f>
        <v>-1.5918864318864319</v>
      </c>
      <c r="F43" s="1049">
        <f t="shared" si="25"/>
        <v>-2.6846995881895883</v>
      </c>
      <c r="G43" s="1049">
        <f t="shared" si="25"/>
        <v>-2.8197976757741352</v>
      </c>
      <c r="H43" s="1049">
        <f t="shared" si="25"/>
        <v>-13.452681818181818</v>
      </c>
      <c r="I43" s="1049">
        <f t="shared" si="25"/>
        <v>-4.1402327701796731</v>
      </c>
      <c r="J43" s="1049">
        <f t="shared" si="25"/>
        <v>-4.094106613581066</v>
      </c>
      <c r="K43" s="1049">
        <f t="shared" si="25"/>
        <v>-4.6101734128274616</v>
      </c>
      <c r="L43" s="1049">
        <f t="shared" si="25"/>
        <v>-14.470536251252923</v>
      </c>
      <c r="M43" s="1049">
        <f t="shared" si="25"/>
        <v>-5.1404679127725856</v>
      </c>
      <c r="N43" s="1049">
        <f t="shared" si="25"/>
        <v>-0.36753248244721121</v>
      </c>
      <c r="O43" s="1049">
        <f t="shared" si="25"/>
        <v>-3.4850747845426748</v>
      </c>
      <c r="P43" s="1049">
        <f t="shared" si="25"/>
        <v>-1.4034914438502679</v>
      </c>
      <c r="S43"/>
      <c r="T43"/>
      <c r="U43"/>
      <c r="V43"/>
      <c r="W43"/>
      <c r="X43"/>
      <c r="Y43"/>
      <c r="Z43"/>
      <c r="AA43"/>
      <c r="AB43"/>
      <c r="AC43"/>
      <c r="AD43"/>
      <c r="AE43"/>
    </row>
    <row r="44" spans="2:32" s="1294" customFormat="1" ht="18" customHeight="1">
      <c r="B44" s="1139" t="s">
        <v>730</v>
      </c>
      <c r="C44" s="1347" t="s">
        <v>740</v>
      </c>
      <c r="D44" s="1043">
        <f t="shared" si="23"/>
        <v>385027.15618850006</v>
      </c>
      <c r="E44" s="1043">
        <f>SUM(E45:E50)</f>
        <v>41064.254059999992</v>
      </c>
      <c r="F44" s="1043">
        <f>SUM(F45:F50)</f>
        <v>26994.755799999999</v>
      </c>
      <c r="G44" s="1043">
        <f>SUM(G45:G50)</f>
        <v>31985.3133485</v>
      </c>
      <c r="H44" s="1043">
        <f>SUM(H45:H50)</f>
        <v>32738.906800000001</v>
      </c>
      <c r="I44" s="1043">
        <f t="shared" ref="I44:P44" si="26">SUM(I45:I50)</f>
        <v>27293.962</v>
      </c>
      <c r="J44" s="1043">
        <f t="shared" si="26"/>
        <v>37827.314399999996</v>
      </c>
      <c r="K44" s="1043">
        <f t="shared" si="26"/>
        <v>29516.165479999996</v>
      </c>
      <c r="L44" s="1043">
        <f t="shared" si="26"/>
        <v>38746.544600000001</v>
      </c>
      <c r="M44" s="1043">
        <f t="shared" si="26"/>
        <v>26757.999100000001</v>
      </c>
      <c r="N44" s="1043">
        <f t="shared" si="26"/>
        <v>30598.094099999995</v>
      </c>
      <c r="O44" s="1043">
        <f t="shared" si="26"/>
        <v>32006.577599999997</v>
      </c>
      <c r="P44" s="1043">
        <f t="shared" si="26"/>
        <v>29497.268899999999</v>
      </c>
      <c r="R44"/>
      <c r="S44"/>
      <c r="T44"/>
      <c r="U44"/>
      <c r="V44"/>
      <c r="W44"/>
      <c r="X44"/>
      <c r="Y44"/>
      <c r="Z44"/>
      <c r="AA44"/>
      <c r="AB44"/>
      <c r="AC44"/>
      <c r="AD44"/>
      <c r="AE44"/>
      <c r="AF44"/>
    </row>
    <row r="45" spans="2:32" ht="18" customHeight="1" outlineLevel="1">
      <c r="B45" s="1139" t="s">
        <v>730</v>
      </c>
      <c r="C45" s="158" t="s">
        <v>720</v>
      </c>
      <c r="D45" s="1041">
        <f t="shared" si="23"/>
        <v>279971.70215999999</v>
      </c>
      <c r="E45" s="1038">
        <v>37138.798559999988</v>
      </c>
      <c r="F45" s="1038">
        <v>15385.108799999998</v>
      </c>
      <c r="G45" s="1038">
        <v>25641.882000000001</v>
      </c>
      <c r="H45" s="1038">
        <v>20696.656800000001</v>
      </c>
      <c r="I45" s="1038">
        <v>20879.808000000001</v>
      </c>
      <c r="J45" s="1038">
        <v>25825.043399999995</v>
      </c>
      <c r="K45" s="1038">
        <v>20696.656799999997</v>
      </c>
      <c r="L45" s="1038">
        <v>26008.194599999999</v>
      </c>
      <c r="M45" s="1038">
        <v>20513.5056</v>
      </c>
      <c r="N45" s="1038">
        <v>20513.505599999997</v>
      </c>
      <c r="O45" s="1038">
        <v>25641.885600000001</v>
      </c>
      <c r="P45" s="1038">
        <v>21030.6564</v>
      </c>
      <c r="S45"/>
      <c r="T45"/>
      <c r="U45"/>
      <c r="V45"/>
      <c r="W45"/>
      <c r="X45"/>
      <c r="Y45"/>
      <c r="Z45"/>
      <c r="AA45"/>
      <c r="AB45"/>
      <c r="AC45"/>
      <c r="AD45"/>
      <c r="AE45"/>
    </row>
    <row r="46" spans="2:32" ht="18" customHeight="1" outlineLevel="1">
      <c r="B46" s="1139" t="s">
        <v>730</v>
      </c>
      <c r="C46" s="158" t="s">
        <v>719</v>
      </c>
      <c r="D46" s="1041">
        <f t="shared" si="23"/>
        <v>56568.922500000001</v>
      </c>
      <c r="E46" s="1038"/>
      <c r="F46" s="1038">
        <v>7833.1</v>
      </c>
      <c r="G46" s="1038">
        <v>2494.89</v>
      </c>
      <c r="H46" s="1038">
        <v>8114.47</v>
      </c>
      <c r="I46" s="1038">
        <v>2494.89</v>
      </c>
      <c r="J46" s="1038">
        <v>8114.47</v>
      </c>
      <c r="K46" s="1038">
        <v>3823.2900000000004</v>
      </c>
      <c r="L46" s="1038">
        <v>8288.41</v>
      </c>
      <c r="M46" s="1038">
        <v>2414.42</v>
      </c>
      <c r="N46" s="1038">
        <v>6151.1549999999988</v>
      </c>
      <c r="O46" s="1038">
        <v>2416.92</v>
      </c>
      <c r="P46" s="1038">
        <v>4422.9075000000003</v>
      </c>
      <c r="S46"/>
      <c r="T46"/>
      <c r="U46"/>
      <c r="V46"/>
      <c r="W46"/>
      <c r="X46"/>
      <c r="Y46"/>
      <c r="Z46"/>
      <c r="AA46"/>
      <c r="AB46"/>
      <c r="AC46"/>
      <c r="AD46"/>
      <c r="AE46"/>
    </row>
    <row r="47" spans="2:32" ht="18" customHeight="1" outlineLevel="1">
      <c r="B47" s="1139" t="s">
        <v>730</v>
      </c>
      <c r="C47" s="1028" t="s">
        <v>721</v>
      </c>
      <c r="D47" s="1041">
        <f t="shared" si="23"/>
        <v>1944.0896799999998</v>
      </c>
      <c r="E47" s="1038"/>
      <c r="F47" s="1038"/>
      <c r="G47" s="1038"/>
      <c r="H47" s="1038"/>
      <c r="I47" s="1038"/>
      <c r="J47" s="1038"/>
      <c r="K47" s="1038">
        <v>1188.6496799999998</v>
      </c>
      <c r="L47" s="1038">
        <v>604.64</v>
      </c>
      <c r="M47" s="1038"/>
      <c r="N47" s="1038"/>
      <c r="O47" s="1038"/>
      <c r="P47" s="1038">
        <v>150.80000000000001</v>
      </c>
      <c r="S47"/>
      <c r="T47"/>
      <c r="U47"/>
      <c r="V47"/>
      <c r="W47"/>
      <c r="X47"/>
      <c r="Y47"/>
      <c r="Z47"/>
      <c r="AA47"/>
      <c r="AB47"/>
      <c r="AC47"/>
      <c r="AD47"/>
      <c r="AE47"/>
    </row>
    <row r="48" spans="2:32" ht="18" customHeight="1" outlineLevel="1">
      <c r="B48" s="1139" t="s">
        <v>730</v>
      </c>
      <c r="C48" s="158" t="s">
        <v>752</v>
      </c>
      <c r="D48" s="1041">
        <f t="shared" si="23"/>
        <v>40803.49</v>
      </c>
      <c r="E48" s="1068">
        <f>((15693.65*52)/12)*0.05</f>
        <v>3400.2908333333335</v>
      </c>
      <c r="F48" s="1068">
        <f>((15693.65*52)/12)*0.05</f>
        <v>3400.2908333333335</v>
      </c>
      <c r="G48" s="1068">
        <f t="shared" ref="G48:P48" si="27">((15693.65*52)/12)*0.05</f>
        <v>3400.2908333333335</v>
      </c>
      <c r="H48" s="1068">
        <f t="shared" si="27"/>
        <v>3400.2908333333335</v>
      </c>
      <c r="I48" s="1068">
        <f t="shared" si="27"/>
        <v>3400.2908333333335</v>
      </c>
      <c r="J48" s="1068">
        <f t="shared" si="27"/>
        <v>3400.2908333333335</v>
      </c>
      <c r="K48" s="1068">
        <f t="shared" si="27"/>
        <v>3400.2908333333335</v>
      </c>
      <c r="L48" s="1068">
        <f t="shared" si="27"/>
        <v>3400.2908333333335</v>
      </c>
      <c r="M48" s="1068">
        <f t="shared" si="27"/>
        <v>3400.2908333333335</v>
      </c>
      <c r="N48" s="1068">
        <f t="shared" si="27"/>
        <v>3400.2908333333335</v>
      </c>
      <c r="O48" s="1068">
        <f t="shared" si="27"/>
        <v>3400.2908333333335</v>
      </c>
      <c r="P48" s="1068">
        <f t="shared" si="27"/>
        <v>3400.2908333333335</v>
      </c>
      <c r="S48"/>
      <c r="T48"/>
      <c r="U48"/>
      <c r="V48"/>
      <c r="W48"/>
      <c r="X48"/>
      <c r="Y48"/>
      <c r="Z48"/>
      <c r="AA48"/>
      <c r="AB48"/>
      <c r="AC48"/>
      <c r="AD48"/>
      <c r="AE48"/>
    </row>
    <row r="49" spans="2:32" ht="18" customHeight="1" outlineLevel="1">
      <c r="B49" s="1139" t="s">
        <v>730</v>
      </c>
      <c r="C49" s="158" t="s">
        <v>384</v>
      </c>
      <c r="D49" s="1041">
        <f t="shared" si="23"/>
        <v>816.06200000000024</v>
      </c>
      <c r="E49" s="1068">
        <f>((313.87*52)/12)*0.05</f>
        <v>68.005166666666668</v>
      </c>
      <c r="F49" s="1068">
        <f t="shared" ref="F49:P49" si="28">((313.87*52)/12)*0.05</f>
        <v>68.005166666666668</v>
      </c>
      <c r="G49" s="1068">
        <f t="shared" si="28"/>
        <v>68.005166666666668</v>
      </c>
      <c r="H49" s="1068">
        <f t="shared" si="28"/>
        <v>68.005166666666668</v>
      </c>
      <c r="I49" s="1068">
        <f t="shared" si="28"/>
        <v>68.005166666666668</v>
      </c>
      <c r="J49" s="1068">
        <f t="shared" si="28"/>
        <v>68.005166666666668</v>
      </c>
      <c r="K49" s="1068">
        <f t="shared" si="28"/>
        <v>68.005166666666668</v>
      </c>
      <c r="L49" s="1068">
        <f t="shared" si="28"/>
        <v>68.005166666666668</v>
      </c>
      <c r="M49" s="1068">
        <f t="shared" si="28"/>
        <v>68.005166666666668</v>
      </c>
      <c r="N49" s="1068">
        <f t="shared" si="28"/>
        <v>68.005166666666668</v>
      </c>
      <c r="O49" s="1068">
        <f t="shared" si="28"/>
        <v>68.005166666666668</v>
      </c>
      <c r="P49" s="1068">
        <f t="shared" si="28"/>
        <v>68.005166666666668</v>
      </c>
      <c r="S49"/>
      <c r="T49"/>
      <c r="U49"/>
      <c r="V49"/>
      <c r="W49"/>
      <c r="X49"/>
      <c r="Y49"/>
      <c r="Z49"/>
      <c r="AA49"/>
      <c r="AB49"/>
      <c r="AC49"/>
      <c r="AD49"/>
      <c r="AE49"/>
    </row>
    <row r="50" spans="2:32" ht="18" customHeight="1" outlineLevel="1">
      <c r="B50" s="1139" t="s">
        <v>730</v>
      </c>
      <c r="C50" s="158" t="s">
        <v>717</v>
      </c>
      <c r="D50" s="1041">
        <f t="shared" si="23"/>
        <v>4922.8898485</v>
      </c>
      <c r="E50" s="1068">
        <f>9143.19*0.05</f>
        <v>457.15950000000004</v>
      </c>
      <c r="F50" s="1068">
        <f>6165.02*0.05</f>
        <v>308.25100000000003</v>
      </c>
      <c r="G50" s="1068">
        <f>7604.90697*0.05</f>
        <v>380.24534850000003</v>
      </c>
      <c r="H50" s="1068">
        <f>9189.68*0.05</f>
        <v>459.48400000000004</v>
      </c>
      <c r="I50" s="1068">
        <f>9019.36*0.05</f>
        <v>450.96800000000007</v>
      </c>
      <c r="J50" s="1068">
        <f>8390.1*0.05</f>
        <v>419.50500000000005</v>
      </c>
      <c r="K50" s="1068">
        <f>6785.46*0.05</f>
        <v>339.27300000000002</v>
      </c>
      <c r="L50" s="1068">
        <f>7540.08*0.05</f>
        <v>377.00400000000002</v>
      </c>
      <c r="M50" s="1068">
        <f>7235.55*0.05</f>
        <v>361.77750000000003</v>
      </c>
      <c r="N50" s="1068">
        <f>9302.75*0.05</f>
        <v>465.13750000000005</v>
      </c>
      <c r="O50" s="1068">
        <f>9589.52*0.05</f>
        <v>479.47600000000006</v>
      </c>
      <c r="P50" s="1068">
        <f>8492.18*0.05</f>
        <v>424.60900000000004</v>
      </c>
      <c r="S50"/>
      <c r="T50"/>
      <c r="U50"/>
      <c r="V50"/>
      <c r="W50"/>
      <c r="X50"/>
      <c r="Y50"/>
      <c r="Z50"/>
      <c r="AA50"/>
      <c r="AB50"/>
      <c r="AC50"/>
      <c r="AD50"/>
      <c r="AE50"/>
    </row>
    <row r="51" spans="2:32" s="1294" customFormat="1" ht="18" customHeight="1">
      <c r="B51" s="1139" t="s">
        <v>730</v>
      </c>
      <c r="C51" s="1345" t="s">
        <v>741</v>
      </c>
      <c r="D51" s="1039">
        <f t="shared" si="23"/>
        <v>7746.6</v>
      </c>
      <c r="E51" s="1039">
        <f>IF(SUM(E52:E52)&gt;0,SUM(E52:E52),0)</f>
        <v>0</v>
      </c>
      <c r="F51" s="1039">
        <f t="shared" ref="F51:P51" si="29">IF(SUM(F52:F52)&gt;0,SUM(F52:F52),0)</f>
        <v>0</v>
      </c>
      <c r="G51" s="1039">
        <f t="shared" si="29"/>
        <v>0</v>
      </c>
      <c r="H51" s="1039">
        <f t="shared" si="29"/>
        <v>0</v>
      </c>
      <c r="I51" s="1039">
        <f t="shared" si="29"/>
        <v>0</v>
      </c>
      <c r="J51" s="1039">
        <f t="shared" si="29"/>
        <v>0</v>
      </c>
      <c r="K51" s="1039">
        <f t="shared" si="29"/>
        <v>0</v>
      </c>
      <c r="L51" s="1039">
        <f t="shared" si="29"/>
        <v>0</v>
      </c>
      <c r="M51" s="1039">
        <f t="shared" si="29"/>
        <v>0</v>
      </c>
      <c r="N51" s="1039">
        <f t="shared" si="29"/>
        <v>2185</v>
      </c>
      <c r="O51" s="1039">
        <f t="shared" si="29"/>
        <v>5561.6</v>
      </c>
      <c r="P51" s="1039">
        <f t="shared" si="29"/>
        <v>0</v>
      </c>
      <c r="R51"/>
      <c r="S51"/>
      <c r="T51"/>
      <c r="U51"/>
      <c r="V51"/>
      <c r="W51"/>
      <c r="X51"/>
      <c r="Y51"/>
      <c r="Z51"/>
      <c r="AA51"/>
      <c r="AB51"/>
      <c r="AC51"/>
      <c r="AD51"/>
      <c r="AE51"/>
      <c r="AF51"/>
    </row>
    <row r="52" spans="2:32" ht="18" customHeight="1" outlineLevel="1" thickBot="1">
      <c r="B52" s="1139" t="s">
        <v>730</v>
      </c>
      <c r="C52" s="1028" t="s">
        <v>721</v>
      </c>
      <c r="D52" s="1041">
        <f t="shared" si="23"/>
        <v>7746.6</v>
      </c>
      <c r="E52" s="1038"/>
      <c r="F52" s="1038"/>
      <c r="G52" s="1038"/>
      <c r="H52" s="1038"/>
      <c r="I52" s="1038"/>
      <c r="J52" s="1038"/>
      <c r="K52" s="1038"/>
      <c r="L52" s="1038"/>
      <c r="M52" s="1038"/>
      <c r="N52" s="1038">
        <v>2185</v>
      </c>
      <c r="O52" s="1038">
        <v>5561.6</v>
      </c>
      <c r="P52" s="1038"/>
      <c r="S52"/>
      <c r="T52"/>
      <c r="U52"/>
      <c r="V52"/>
      <c r="W52"/>
      <c r="X52"/>
      <c r="Y52"/>
      <c r="Z52"/>
      <c r="AA52"/>
      <c r="AB52"/>
      <c r="AC52"/>
      <c r="AD52"/>
      <c r="AE52"/>
    </row>
    <row r="53" spans="2:32" s="1294" customFormat="1" ht="18" customHeight="1" thickTop="1" thickBot="1">
      <c r="B53" s="1139" t="s">
        <v>730</v>
      </c>
      <c r="C53" s="1348" t="s">
        <v>739</v>
      </c>
      <c r="D53" s="1048">
        <f>IFERROR(SUM(E53:P53),"")</f>
        <v>-917876.62547850003</v>
      </c>
      <c r="E53" s="1048">
        <f>(E42-E44-E51)</f>
        <v>-70219.654060000001</v>
      </c>
      <c r="F53" s="1048">
        <f t="shared" ref="F53:P53" si="30">(F42-F44-F51)</f>
        <v>-61546.839500000002</v>
      </c>
      <c r="G53" s="1048">
        <f t="shared" si="30"/>
        <v>-74557.208758499997</v>
      </c>
      <c r="H53" s="1048">
        <f t="shared" si="30"/>
        <v>-77132.756800000003</v>
      </c>
      <c r="I53" s="1048">
        <f t="shared" si="30"/>
        <v>-65891.282000000007</v>
      </c>
      <c r="J53" s="1048">
        <f t="shared" si="30"/>
        <v>-84100.954399999988</v>
      </c>
      <c r="K53" s="1048">
        <f t="shared" si="30"/>
        <v>-80550.785159999999</v>
      </c>
      <c r="L53" s="1048">
        <f t="shared" si="30"/>
        <v>-125367.1746</v>
      </c>
      <c r="M53" s="1048">
        <f t="shared" si="30"/>
        <v>-72135.479599999991</v>
      </c>
      <c r="N53" s="1048">
        <f t="shared" si="30"/>
        <v>-50384.684099999999</v>
      </c>
      <c r="O53" s="1048">
        <f t="shared" si="30"/>
        <v>-100247.2476</v>
      </c>
      <c r="P53" s="1048">
        <f t="shared" si="30"/>
        <v>-55742.558900000004</v>
      </c>
      <c r="R53"/>
      <c r="S53"/>
      <c r="T53"/>
      <c r="U53"/>
      <c r="V53"/>
      <c r="W53"/>
      <c r="X53"/>
      <c r="Y53"/>
      <c r="Z53"/>
      <c r="AA53"/>
      <c r="AB53"/>
      <c r="AC53"/>
      <c r="AD53"/>
      <c r="AE53"/>
      <c r="AF53"/>
    </row>
    <row r="54" spans="2:32" ht="15.75" outlineLevel="1" thickTop="1">
      <c r="B54" s="1139" t="s">
        <v>730</v>
      </c>
      <c r="C54" s="1050"/>
      <c r="D54" s="1056">
        <f>IFERROR(D53/D27,"")</f>
        <v>-5.0804815232340115</v>
      </c>
      <c r="E54" s="1056">
        <f t="shared" ref="E54:P54" si="31">IFERROR(E53/E27,"")</f>
        <v>-3.8339969456729457</v>
      </c>
      <c r="F54" s="1056">
        <f t="shared" si="31"/>
        <v>-4.7821942113442111</v>
      </c>
      <c r="G54" s="1056">
        <f t="shared" si="31"/>
        <v>-4.9383811067064078</v>
      </c>
      <c r="H54" s="1056">
        <f t="shared" si="31"/>
        <v>-23.373562666666668</v>
      </c>
      <c r="I54" s="1056">
        <f t="shared" si="31"/>
        <v>-7.0679841244301427</v>
      </c>
      <c r="J54" s="1056">
        <f t="shared" si="31"/>
        <v>-7.4409161159035602</v>
      </c>
      <c r="K54" s="1056">
        <f t="shared" si="31"/>
        <v>-7.2764936910569107</v>
      </c>
      <c r="L54" s="1056">
        <f t="shared" si="31"/>
        <v>-20.943397026394923</v>
      </c>
      <c r="M54" s="1056">
        <f t="shared" si="31"/>
        <v>-8.1716770999716779</v>
      </c>
      <c r="N54" s="1056">
        <f t="shared" si="31"/>
        <v>-1.0520645023882234</v>
      </c>
      <c r="O54" s="1056">
        <f t="shared" si="31"/>
        <v>-5.5739364804003335</v>
      </c>
      <c r="P54" s="1056">
        <f t="shared" si="31"/>
        <v>-2.980885502673797</v>
      </c>
      <c r="S54"/>
      <c r="T54"/>
      <c r="U54"/>
      <c r="V54"/>
      <c r="W54"/>
      <c r="X54"/>
      <c r="Y54"/>
      <c r="Z54"/>
      <c r="AA54"/>
      <c r="AB54"/>
      <c r="AC54"/>
      <c r="AD54"/>
      <c r="AE54"/>
    </row>
    <row r="55" spans="2:32" s="1294" customFormat="1">
      <c r="B55" s="1139" t="s">
        <v>730</v>
      </c>
      <c r="C55" s="1349" t="s">
        <v>728</v>
      </c>
      <c r="D55" s="1066">
        <f t="shared" si="23"/>
        <v>11500</v>
      </c>
      <c r="E55" s="1067"/>
      <c r="F55" s="1067"/>
      <c r="G55" s="1067"/>
      <c r="H55" s="1067"/>
      <c r="I55" s="1067"/>
      <c r="J55" s="1067"/>
      <c r="K55" s="1067"/>
      <c r="L55" s="1067"/>
      <c r="M55" s="1067">
        <v>11500</v>
      </c>
      <c r="N55" s="1067"/>
      <c r="O55" s="1067"/>
      <c r="P55" s="1067"/>
      <c r="R55"/>
      <c r="S55"/>
      <c r="T55"/>
      <c r="U55"/>
      <c r="V55"/>
      <c r="W55"/>
      <c r="X55"/>
      <c r="Y55"/>
      <c r="Z55"/>
      <c r="AA55"/>
      <c r="AB55"/>
      <c r="AC55"/>
      <c r="AD55"/>
      <c r="AE55"/>
      <c r="AF55"/>
    </row>
    <row r="56" spans="2:32" s="1294" customFormat="1" ht="18" customHeight="1">
      <c r="B56" s="1139" t="s">
        <v>730</v>
      </c>
      <c r="C56" s="1350" t="s">
        <v>742</v>
      </c>
      <c r="D56" s="1053">
        <f>IFERROR(SUM(E56:P56),"")</f>
        <v>1098543.8754785</v>
      </c>
      <c r="E56" s="1057">
        <f>SUM(E57:E59)</f>
        <v>88534.654060000001</v>
      </c>
      <c r="F56" s="1057">
        <f t="shared" ref="F56:P56" si="32">SUM(F57:F59)</f>
        <v>74416.839500000002</v>
      </c>
      <c r="G56" s="1057">
        <f t="shared" si="32"/>
        <v>89654.708758499997</v>
      </c>
      <c r="H56" s="1057">
        <f t="shared" si="32"/>
        <v>80432.756800000003</v>
      </c>
      <c r="I56" s="1057">
        <f t="shared" si="32"/>
        <v>75213.782000000007</v>
      </c>
      <c r="J56" s="1057">
        <f t="shared" si="32"/>
        <v>95403.454399999988</v>
      </c>
      <c r="K56" s="1057">
        <f t="shared" si="32"/>
        <v>91620.785159999999</v>
      </c>
      <c r="L56" s="1057">
        <f t="shared" si="32"/>
        <v>131353.1746</v>
      </c>
      <c r="M56" s="1057">
        <f t="shared" si="32"/>
        <v>80962.979599999991</v>
      </c>
      <c r="N56" s="1057">
        <f t="shared" si="32"/>
        <v>98275.934099999999</v>
      </c>
      <c r="O56" s="1057">
        <f t="shared" si="32"/>
        <v>118232.2476</v>
      </c>
      <c r="P56" s="1057">
        <f t="shared" si="32"/>
        <v>74442.558900000004</v>
      </c>
      <c r="R56"/>
      <c r="S56"/>
      <c r="T56"/>
      <c r="U56"/>
      <c r="V56"/>
      <c r="W56"/>
      <c r="X56"/>
      <c r="Y56"/>
      <c r="Z56"/>
      <c r="AA56"/>
      <c r="AB56"/>
      <c r="AC56"/>
      <c r="AD56"/>
      <c r="AE56"/>
      <c r="AF56"/>
    </row>
    <row r="57" spans="2:32" ht="18" customHeight="1" outlineLevel="1">
      <c r="B57" s="1139" t="s">
        <v>730</v>
      </c>
      <c r="C57" s="1058" t="s">
        <v>738</v>
      </c>
      <c r="D57" s="1059">
        <f>IF(SUM(E57:P57)&gt;0,SUM(E57:P57),"")</f>
        <v>705770.11929000006</v>
      </c>
      <c r="E57" s="1060">
        <f>(E31)</f>
        <v>47470.400000000001</v>
      </c>
      <c r="F57" s="1060">
        <f t="shared" ref="F57:P57" si="33">(F31)</f>
        <v>47422.083700000003</v>
      </c>
      <c r="G57" s="1060">
        <f t="shared" si="33"/>
        <v>57669.395410000005</v>
      </c>
      <c r="H57" s="1060">
        <f t="shared" si="33"/>
        <v>47693.85</v>
      </c>
      <c r="I57" s="1060">
        <f t="shared" si="33"/>
        <v>47919.82</v>
      </c>
      <c r="J57" s="1060">
        <f t="shared" si="33"/>
        <v>57576.14</v>
      </c>
      <c r="K57" s="1060">
        <f t="shared" si="33"/>
        <v>62104.619679999996</v>
      </c>
      <c r="L57" s="1060">
        <f t="shared" si="33"/>
        <v>92606.63</v>
      </c>
      <c r="M57" s="1060">
        <f t="shared" si="33"/>
        <v>54204.980499999998</v>
      </c>
      <c r="N57" s="1060">
        <f t="shared" si="33"/>
        <v>65492.840000000004</v>
      </c>
      <c r="O57" s="1060">
        <f t="shared" si="33"/>
        <v>80664.070000000007</v>
      </c>
      <c r="P57" s="1060">
        <f t="shared" si="33"/>
        <v>44945.290000000008</v>
      </c>
      <c r="S57"/>
      <c r="T57"/>
      <c r="U57"/>
      <c r="V57"/>
      <c r="W57"/>
      <c r="X57"/>
      <c r="Y57"/>
      <c r="Z57"/>
      <c r="AA57"/>
      <c r="AB57"/>
      <c r="AC57"/>
      <c r="AD57"/>
      <c r="AE57"/>
    </row>
    <row r="58" spans="2:32" ht="18" customHeight="1" outlineLevel="1">
      <c r="B58" s="1139" t="s">
        <v>730</v>
      </c>
      <c r="C58" s="1058" t="s">
        <v>740</v>
      </c>
      <c r="D58" s="1059">
        <f t="shared" si="23"/>
        <v>385027.15618850006</v>
      </c>
      <c r="E58" s="1060">
        <f>(E44)</f>
        <v>41064.254059999992</v>
      </c>
      <c r="F58" s="1060">
        <f t="shared" ref="F58:P58" si="34">(F44)</f>
        <v>26994.755799999999</v>
      </c>
      <c r="G58" s="1060">
        <f t="shared" si="34"/>
        <v>31985.3133485</v>
      </c>
      <c r="H58" s="1060">
        <f t="shared" si="34"/>
        <v>32738.906800000001</v>
      </c>
      <c r="I58" s="1060">
        <f t="shared" si="34"/>
        <v>27293.962</v>
      </c>
      <c r="J58" s="1060">
        <f t="shared" si="34"/>
        <v>37827.314399999996</v>
      </c>
      <c r="K58" s="1060">
        <f t="shared" si="34"/>
        <v>29516.165479999996</v>
      </c>
      <c r="L58" s="1060">
        <f t="shared" si="34"/>
        <v>38746.544600000001</v>
      </c>
      <c r="M58" s="1060">
        <f t="shared" si="34"/>
        <v>26757.999100000001</v>
      </c>
      <c r="N58" s="1060">
        <f t="shared" si="34"/>
        <v>30598.094099999995</v>
      </c>
      <c r="O58" s="1060">
        <f t="shared" si="34"/>
        <v>32006.577599999997</v>
      </c>
      <c r="P58" s="1060">
        <f t="shared" si="34"/>
        <v>29497.268899999999</v>
      </c>
      <c r="S58"/>
      <c r="T58"/>
      <c r="U58"/>
      <c r="V58"/>
      <c r="W58"/>
      <c r="X58"/>
      <c r="Y58"/>
      <c r="Z58"/>
      <c r="AA58"/>
      <c r="AB58"/>
      <c r="AC58"/>
      <c r="AD58"/>
      <c r="AE58"/>
    </row>
    <row r="59" spans="2:32" ht="18" customHeight="1" outlineLevel="1">
      <c r="B59" s="1139" t="s">
        <v>730</v>
      </c>
      <c r="C59" s="1058" t="s">
        <v>741</v>
      </c>
      <c r="D59" s="1059">
        <f t="shared" si="23"/>
        <v>7746.6</v>
      </c>
      <c r="E59" s="1060">
        <f>(E51)</f>
        <v>0</v>
      </c>
      <c r="F59" s="1060">
        <f t="shared" ref="F59:P59" si="35">(F51)</f>
        <v>0</v>
      </c>
      <c r="G59" s="1060">
        <f t="shared" si="35"/>
        <v>0</v>
      </c>
      <c r="H59" s="1060">
        <f t="shared" si="35"/>
        <v>0</v>
      </c>
      <c r="I59" s="1060">
        <f t="shared" si="35"/>
        <v>0</v>
      </c>
      <c r="J59" s="1060">
        <f t="shared" si="35"/>
        <v>0</v>
      </c>
      <c r="K59" s="1060">
        <f t="shared" si="35"/>
        <v>0</v>
      </c>
      <c r="L59" s="1060">
        <f t="shared" si="35"/>
        <v>0</v>
      </c>
      <c r="M59" s="1060">
        <f t="shared" si="35"/>
        <v>0</v>
      </c>
      <c r="N59" s="1060">
        <f t="shared" si="35"/>
        <v>2185</v>
      </c>
      <c r="O59" s="1060">
        <f t="shared" si="35"/>
        <v>5561.6</v>
      </c>
      <c r="P59" s="1060">
        <f t="shared" si="35"/>
        <v>0</v>
      </c>
      <c r="S59"/>
      <c r="T59"/>
      <c r="U59"/>
      <c r="V59"/>
      <c r="W59"/>
      <c r="X59"/>
      <c r="Y59"/>
      <c r="Z59"/>
      <c r="AA59"/>
      <c r="AB59"/>
      <c r="AC59"/>
      <c r="AD59"/>
      <c r="AE59"/>
    </row>
    <row r="60" spans="2:32" s="1294" customFormat="1" ht="18" customHeight="1" thickBot="1">
      <c r="B60" s="1139" t="s">
        <v>730</v>
      </c>
      <c r="C60" s="1351" t="s">
        <v>753</v>
      </c>
      <c r="D60" s="1054">
        <f t="shared" ref="D60:O60" si="36">IFERROR(((D56/2)/D18),"")</f>
        <v>155.0359151691045</v>
      </c>
      <c r="E60" s="1055">
        <f t="shared" si="36"/>
        <v>303.99208233759123</v>
      </c>
      <c r="F60" s="1055">
        <f t="shared" si="36"/>
        <v>113.85685358017136</v>
      </c>
      <c r="G60" s="1055">
        <f t="shared" si="36"/>
        <v>456.95570213302756</v>
      </c>
      <c r="H60" s="1055">
        <f t="shared" si="36"/>
        <v>132.02319773091372</v>
      </c>
      <c r="I60" s="1055">
        <f t="shared" si="36"/>
        <v>168.82018557839501</v>
      </c>
      <c r="J60" s="1055">
        <f t="shared" si="36"/>
        <v>117.32144715807075</v>
      </c>
      <c r="K60" s="1055">
        <f t="shared" si="36"/>
        <v>65.312792386655261</v>
      </c>
      <c r="L60" s="1055">
        <f t="shared" si="36"/>
        <v>109.55409981817878</v>
      </c>
      <c r="M60" s="1055" t="str">
        <f t="shared" si="36"/>
        <v/>
      </c>
      <c r="N60" s="1055" t="str">
        <f t="shared" si="36"/>
        <v/>
      </c>
      <c r="O60" s="1055">
        <f t="shared" si="36"/>
        <v>80.158542895496893</v>
      </c>
      <c r="P60" s="1055" t="str">
        <f t="shared" ref="P60" si="37">IFERROR(((P56/2)/P18),"")</f>
        <v/>
      </c>
      <c r="Q60" s="1051">
        <f>SUMPRODUCT(E60:P60,E18:P18)/SUM(E18:P18)</f>
        <v>119.23421425947447</v>
      </c>
      <c r="R60"/>
      <c r="S60"/>
      <c r="T60"/>
      <c r="U60"/>
      <c r="V60"/>
      <c r="W60"/>
      <c r="X60"/>
      <c r="Y60"/>
      <c r="Z60"/>
      <c r="AA60"/>
      <c r="AB60"/>
      <c r="AC60"/>
      <c r="AD60"/>
      <c r="AE60"/>
      <c r="AF60"/>
    </row>
    <row r="61" spans="2:32" s="1294" customFormat="1" ht="18" customHeight="1" thickTop="1" thickBot="1">
      <c r="B61" s="1139" t="s">
        <v>730</v>
      </c>
      <c r="C61" s="1355" t="s">
        <v>754</v>
      </c>
      <c r="D61" s="1054">
        <f>IFERROR(((D57/2)/D18),"")</f>
        <v>99.604320578886785</v>
      </c>
      <c r="E61" s="1055">
        <f>IFERROR(((E57/2)/E18),"")</f>
        <v>162.99409421782735</v>
      </c>
      <c r="F61" s="1055">
        <f>IFERROR(((F57/2)/F18),"")</f>
        <v>72.555207619339043</v>
      </c>
      <c r="G61" s="1055">
        <f>IFERROR(((G57/2)/G18),"")</f>
        <v>293.93167895005104</v>
      </c>
      <c r="H61" s="1055">
        <f>IFERROR(((H57/2)/H18),"")</f>
        <v>78.28520169656224</v>
      </c>
      <c r="I61" s="1055">
        <f t="shared" ref="I61:P61" si="38">IFERROR(((I57/2)/I18),"")</f>
        <v>107.55785296481014</v>
      </c>
      <c r="J61" s="1055">
        <f t="shared" si="38"/>
        <v>70.80368430113873</v>
      </c>
      <c r="K61" s="1055">
        <f t="shared" si="38"/>
        <v>44.271898830909606</v>
      </c>
      <c r="L61" s="1055">
        <f t="shared" si="38"/>
        <v>77.23784383392551</v>
      </c>
      <c r="M61" s="1055" t="str">
        <f t="shared" si="38"/>
        <v/>
      </c>
      <c r="N61" s="1055" t="str">
        <f t="shared" si="38"/>
        <v/>
      </c>
      <c r="O61" s="1055">
        <f t="shared" si="38"/>
        <v>54.688246620293164</v>
      </c>
      <c r="P61" s="1055" t="str">
        <f t="shared" si="38"/>
        <v/>
      </c>
      <c r="Q61" s="1051">
        <f>SUMPRODUCT(E61:P61,E18:P18)/SUM(E18:P18)</f>
        <v>76.368475491190921</v>
      </c>
      <c r="R61"/>
      <c r="S61"/>
      <c r="T61"/>
      <c r="U61"/>
      <c r="V61"/>
      <c r="W61"/>
      <c r="X61"/>
      <c r="Y61"/>
      <c r="Z61"/>
      <c r="AA61"/>
      <c r="AB61"/>
      <c r="AC61"/>
      <c r="AD61"/>
      <c r="AE61"/>
      <c r="AF61"/>
    </row>
    <row r="62" spans="2:32" ht="18" customHeight="1" thickTop="1">
      <c r="S62"/>
      <c r="T62"/>
      <c r="U62"/>
      <c r="V62"/>
      <c r="W62"/>
      <c r="X62"/>
      <c r="Y62"/>
      <c r="Z62"/>
      <c r="AA62"/>
      <c r="AB62"/>
      <c r="AC62"/>
      <c r="AD62"/>
      <c r="AE62"/>
    </row>
    <row r="63" spans="2:32" s="1294" customFormat="1" ht="18" customHeight="1">
      <c r="B63" s="1353" t="s">
        <v>766</v>
      </c>
      <c r="C63" s="1344" t="s">
        <v>731</v>
      </c>
      <c r="D63" s="1071">
        <f>IFERROR(SUM(D64:D64),"")</f>
        <v>64.619</v>
      </c>
      <c r="E63" s="1071">
        <f t="shared" ref="E63:P63" si="39">SUM(E64:E64)</f>
        <v>6.2270000000000003</v>
      </c>
      <c r="F63" s="1071">
        <f t="shared" si="39"/>
        <v>6.4329999999999998</v>
      </c>
      <c r="G63" s="1071">
        <f t="shared" si="39"/>
        <v>8.2370000000000001</v>
      </c>
      <c r="H63" s="1071">
        <f t="shared" si="39"/>
        <v>6.0820000000000007</v>
      </c>
      <c r="I63" s="1071">
        <f t="shared" si="39"/>
        <v>5.2940000000000005</v>
      </c>
      <c r="J63" s="1071">
        <f t="shared" si="39"/>
        <v>5.7379999999999995</v>
      </c>
      <c r="K63" s="1071">
        <f t="shared" si="39"/>
        <v>4.3499999999999996</v>
      </c>
      <c r="L63" s="1071">
        <f t="shared" si="39"/>
        <v>4.9820000000000002</v>
      </c>
      <c r="M63" s="1071">
        <f t="shared" si="39"/>
        <v>2.7370000000000001</v>
      </c>
      <c r="N63" s="1071">
        <f t="shared" si="39"/>
        <v>3.9239999999999999</v>
      </c>
      <c r="O63" s="1071">
        <f t="shared" si="39"/>
        <v>4.694</v>
      </c>
      <c r="P63" s="1071">
        <f t="shared" si="39"/>
        <v>5.9209999999999994</v>
      </c>
      <c r="R63"/>
      <c r="S63"/>
      <c r="T63"/>
      <c r="U63"/>
      <c r="V63"/>
      <c r="W63"/>
      <c r="X63"/>
      <c r="Y63"/>
      <c r="Z63"/>
      <c r="AA63"/>
      <c r="AB63"/>
      <c r="AC63"/>
      <c r="AD63"/>
      <c r="AE63"/>
      <c r="AF63"/>
    </row>
    <row r="64" spans="2:32" s="790" customFormat="1" ht="18" customHeight="1" outlineLevel="1">
      <c r="B64" s="1140" t="s">
        <v>766</v>
      </c>
      <c r="C64" s="1063" t="s">
        <v>755</v>
      </c>
      <c r="D64" s="1069">
        <f>IFERROR(SUM(E64:P64),"")</f>
        <v>64.619</v>
      </c>
      <c r="E64" s="1069">
        <v>6.2270000000000003</v>
      </c>
      <c r="F64" s="1069">
        <v>6.4329999999999998</v>
      </c>
      <c r="G64" s="1069">
        <v>8.2370000000000001</v>
      </c>
      <c r="H64" s="1069">
        <v>6.0820000000000007</v>
      </c>
      <c r="I64" s="1069">
        <v>5.2940000000000005</v>
      </c>
      <c r="J64" s="1069">
        <v>5.7379999999999995</v>
      </c>
      <c r="K64" s="1069">
        <v>4.3499999999999996</v>
      </c>
      <c r="L64" s="1069">
        <v>4.9820000000000002</v>
      </c>
      <c r="M64" s="1069">
        <v>2.7370000000000001</v>
      </c>
      <c r="N64" s="1069">
        <v>3.9239999999999999</v>
      </c>
      <c r="O64" s="1069">
        <v>4.694</v>
      </c>
      <c r="P64" s="1069">
        <v>5.9209999999999994</v>
      </c>
      <c r="R64"/>
      <c r="S64"/>
      <c r="T64"/>
      <c r="U64"/>
      <c r="V64"/>
      <c r="W64"/>
      <c r="X64"/>
      <c r="Y64"/>
      <c r="Z64"/>
      <c r="AA64"/>
      <c r="AB64"/>
      <c r="AC64"/>
      <c r="AD64"/>
      <c r="AE64"/>
      <c r="AF64"/>
    </row>
    <row r="65" spans="2:32" s="1294" customFormat="1" ht="18" customHeight="1">
      <c r="B65" s="1353" t="s">
        <v>766</v>
      </c>
      <c r="C65" s="1345" t="s">
        <v>732</v>
      </c>
      <c r="D65" s="1072">
        <f>IFERROR(SUM(D66:D67),"")</f>
        <v>58.991</v>
      </c>
      <c r="E65" s="1072">
        <f>SUM(E66:E67)</f>
        <v>4.74</v>
      </c>
      <c r="F65" s="1072">
        <f t="shared" ref="F65:P65" si="40">SUM(F66:F67)</f>
        <v>6.24</v>
      </c>
      <c r="G65" s="1072">
        <f t="shared" si="40"/>
        <v>6.7750000000000004</v>
      </c>
      <c r="H65" s="1072">
        <f t="shared" si="40"/>
        <v>4.375</v>
      </c>
      <c r="I65" s="1072">
        <f t="shared" si="40"/>
        <v>6.87</v>
      </c>
      <c r="J65" s="1072">
        <f t="shared" si="40"/>
        <v>6.6310000000000002</v>
      </c>
      <c r="K65" s="1072">
        <f t="shared" si="40"/>
        <v>3.8499999999999996</v>
      </c>
      <c r="L65" s="1072">
        <f t="shared" si="40"/>
        <v>4.68</v>
      </c>
      <c r="M65" s="1072">
        <f t="shared" si="40"/>
        <v>2.5499999999999998</v>
      </c>
      <c r="N65" s="1072">
        <f t="shared" si="40"/>
        <v>4.2300000000000004</v>
      </c>
      <c r="O65" s="1072">
        <f t="shared" si="40"/>
        <v>3.15</v>
      </c>
      <c r="P65" s="1072">
        <f t="shared" si="40"/>
        <v>4.9000000000000004</v>
      </c>
      <c r="R65"/>
      <c r="S65"/>
      <c r="T65"/>
      <c r="U65"/>
      <c r="V65"/>
      <c r="W65"/>
      <c r="X65"/>
      <c r="Y65"/>
      <c r="Z65"/>
      <c r="AA65"/>
      <c r="AB65"/>
      <c r="AC65"/>
      <c r="AD65"/>
      <c r="AE65"/>
      <c r="AF65"/>
    </row>
    <row r="66" spans="2:32" ht="18" customHeight="1" outlineLevel="1">
      <c r="B66" s="1140" t="s">
        <v>766</v>
      </c>
      <c r="C66" s="158" t="s">
        <v>749</v>
      </c>
      <c r="D66" s="1070">
        <f>IFERROR(SUM(E66:P66),"")</f>
        <v>13.381</v>
      </c>
      <c r="E66" s="1070">
        <v>1.2</v>
      </c>
      <c r="F66" s="1070">
        <v>3.665</v>
      </c>
      <c r="G66" s="1070">
        <v>1</v>
      </c>
      <c r="H66" s="1070">
        <v>0.75</v>
      </c>
      <c r="I66" s="1070">
        <v>1</v>
      </c>
      <c r="J66" s="1070">
        <v>1.3759999999999999</v>
      </c>
      <c r="K66" s="1070">
        <v>1.26</v>
      </c>
      <c r="L66" s="1070">
        <v>1.6300000000000001</v>
      </c>
      <c r="M66" s="1070"/>
      <c r="N66" s="1070"/>
      <c r="O66" s="1070">
        <v>1</v>
      </c>
      <c r="P66" s="1070">
        <v>0.5</v>
      </c>
      <c r="S66"/>
      <c r="T66"/>
      <c r="U66"/>
      <c r="V66"/>
      <c r="W66"/>
      <c r="X66"/>
      <c r="Y66"/>
      <c r="Z66"/>
      <c r="AA66"/>
      <c r="AB66"/>
      <c r="AC66"/>
      <c r="AD66"/>
      <c r="AE66"/>
    </row>
    <row r="67" spans="2:32" ht="18" customHeight="1" outlineLevel="1">
      <c r="B67" s="1140" t="s">
        <v>766</v>
      </c>
      <c r="C67" s="158" t="s">
        <v>751</v>
      </c>
      <c r="D67" s="1070">
        <f>IFERROR(SUM(E67:P67),"")</f>
        <v>45.61</v>
      </c>
      <c r="E67" s="1070">
        <v>3.54</v>
      </c>
      <c r="F67" s="1070">
        <v>2.5750000000000002</v>
      </c>
      <c r="G67" s="1070">
        <f>4.175+1.6</f>
        <v>5.7750000000000004</v>
      </c>
      <c r="H67" s="1070">
        <v>3.625</v>
      </c>
      <c r="I67" s="1070">
        <v>5.87</v>
      </c>
      <c r="J67" s="1070">
        <v>5.2550000000000008</v>
      </c>
      <c r="K67" s="1070">
        <f>2.59</f>
        <v>2.59</v>
      </c>
      <c r="L67" s="1070">
        <v>3.05</v>
      </c>
      <c r="M67" s="1070">
        <f>2.75-0.2</f>
        <v>2.5499999999999998</v>
      </c>
      <c r="N67" s="1070">
        <v>4.2300000000000004</v>
      </c>
      <c r="O67" s="1070">
        <f>1.85+0.3</f>
        <v>2.15</v>
      </c>
      <c r="P67" s="1070">
        <f>4.7-0.3</f>
        <v>4.4000000000000004</v>
      </c>
      <c r="S67"/>
      <c r="T67"/>
      <c r="U67"/>
      <c r="V67"/>
      <c r="W67"/>
      <c r="X67"/>
      <c r="Y67"/>
      <c r="Z67"/>
      <c r="AA67"/>
      <c r="AB67"/>
      <c r="AC67"/>
      <c r="AD67"/>
      <c r="AE67"/>
    </row>
    <row r="68" spans="2:32" ht="18" customHeight="1" outlineLevel="1">
      <c r="B68" s="1140" t="s">
        <v>766</v>
      </c>
      <c r="C68" s="158" t="s">
        <v>734</v>
      </c>
      <c r="D68" s="1070">
        <f>IFERROR(SUM(E68:P68),"")</f>
        <v>2.7100000000000004</v>
      </c>
      <c r="E68" s="1070">
        <v>0.22</v>
      </c>
      <c r="F68" s="1070">
        <v>0.22</v>
      </c>
      <c r="G68" s="1070">
        <v>0.33</v>
      </c>
      <c r="H68" s="1070">
        <v>0.22</v>
      </c>
      <c r="I68" s="1070">
        <v>0.22</v>
      </c>
      <c r="J68" s="1070">
        <v>0.22</v>
      </c>
      <c r="K68" s="1070">
        <v>0.22</v>
      </c>
      <c r="L68" s="1070">
        <v>0.21000000000000002</v>
      </c>
      <c r="M68" s="1070">
        <v>0.19</v>
      </c>
      <c r="N68" s="1070">
        <v>0.22</v>
      </c>
      <c r="O68" s="1070">
        <v>0.22</v>
      </c>
      <c r="P68" s="1070">
        <v>0.22</v>
      </c>
      <c r="S68"/>
      <c r="T68"/>
      <c r="U68"/>
      <c r="V68"/>
      <c r="W68"/>
      <c r="X68"/>
      <c r="Y68"/>
      <c r="Z68"/>
      <c r="AA68"/>
      <c r="AB68"/>
      <c r="AC68"/>
      <c r="AD68"/>
      <c r="AE68"/>
    </row>
    <row r="69" spans="2:32" ht="18" customHeight="1" outlineLevel="1">
      <c r="B69" s="1140" t="s">
        <v>766</v>
      </c>
      <c r="C69" s="158" t="s">
        <v>735</v>
      </c>
      <c r="D69" s="479">
        <f>IFERROR(AVERAGE(E69:P69),"")</f>
        <v>39166.666666666664</v>
      </c>
      <c r="E69" s="479">
        <v>25000</v>
      </c>
      <c r="F69" s="479">
        <v>25000</v>
      </c>
      <c r="G69" s="479">
        <v>42000</v>
      </c>
      <c r="H69" s="479">
        <v>42000</v>
      </c>
      <c r="I69" s="479">
        <v>42000</v>
      </c>
      <c r="J69" s="479">
        <v>42000</v>
      </c>
      <c r="K69" s="479">
        <v>42000</v>
      </c>
      <c r="L69" s="479">
        <v>42000</v>
      </c>
      <c r="M69" s="479">
        <v>42000</v>
      </c>
      <c r="N69" s="479">
        <v>42000</v>
      </c>
      <c r="O69" s="479">
        <v>42000</v>
      </c>
      <c r="P69" s="479">
        <v>42000</v>
      </c>
      <c r="S69"/>
      <c r="T69"/>
      <c r="U69"/>
      <c r="V69"/>
      <c r="W69"/>
      <c r="X69"/>
      <c r="Y69"/>
      <c r="Z69"/>
      <c r="AA69"/>
      <c r="AB69"/>
      <c r="AC69"/>
      <c r="AD69"/>
      <c r="AE69"/>
    </row>
    <row r="70" spans="2:32" ht="18" customHeight="1" outlineLevel="1">
      <c r="B70" s="1140" t="s">
        <v>766</v>
      </c>
      <c r="C70" s="158" t="s">
        <v>747</v>
      </c>
      <c r="D70" s="479">
        <f>IFERROR(AVERAGE(E70:P70),"")</f>
        <v>23950</v>
      </c>
      <c r="E70" s="479">
        <v>12400</v>
      </c>
      <c r="F70" s="479">
        <v>25000</v>
      </c>
      <c r="G70" s="479">
        <v>25000</v>
      </c>
      <c r="H70" s="479">
        <v>25000</v>
      </c>
      <c r="I70" s="479">
        <v>25000</v>
      </c>
      <c r="J70" s="479">
        <v>25000</v>
      </c>
      <c r="K70" s="479">
        <v>25000</v>
      </c>
      <c r="L70" s="479">
        <v>25000</v>
      </c>
      <c r="M70" s="479">
        <v>25000</v>
      </c>
      <c r="N70" s="479">
        <v>25000</v>
      </c>
      <c r="O70" s="479">
        <v>25000</v>
      </c>
      <c r="P70" s="479">
        <v>25000</v>
      </c>
      <c r="S70"/>
      <c r="T70"/>
      <c r="U70"/>
      <c r="V70"/>
      <c r="W70"/>
      <c r="X70"/>
      <c r="Y70"/>
      <c r="Z70"/>
      <c r="AA70"/>
      <c r="AB70"/>
      <c r="AC70"/>
      <c r="AD70"/>
      <c r="AE70"/>
    </row>
    <row r="71" spans="2:32" s="1294" customFormat="1" ht="18" customHeight="1">
      <c r="B71" s="1353" t="s">
        <v>766</v>
      </c>
      <c r="C71" s="1345" t="s">
        <v>736</v>
      </c>
      <c r="D71" s="1039">
        <f>IFERROR(SUM(E71:P71),"")</f>
        <v>1574943</v>
      </c>
      <c r="E71" s="1039">
        <f>SUM(E72:E73)</f>
        <v>73896</v>
      </c>
      <c r="F71" s="1039">
        <f t="shared" ref="F71:P71" si="41">SUM(F72:F73)</f>
        <v>156000</v>
      </c>
      <c r="G71" s="1039">
        <f t="shared" si="41"/>
        <v>186375</v>
      </c>
      <c r="H71" s="1039">
        <f t="shared" si="41"/>
        <v>122125</v>
      </c>
      <c r="I71" s="1039">
        <f t="shared" si="41"/>
        <v>188750</v>
      </c>
      <c r="J71" s="1039">
        <f t="shared" si="41"/>
        <v>189167.00000000003</v>
      </c>
      <c r="K71" s="1039">
        <f t="shared" si="41"/>
        <v>117670</v>
      </c>
      <c r="L71" s="1039">
        <f t="shared" si="41"/>
        <v>144710</v>
      </c>
      <c r="M71" s="1039">
        <f t="shared" si="41"/>
        <v>63749.999999999993</v>
      </c>
      <c r="N71" s="1039">
        <f t="shared" si="41"/>
        <v>105750.00000000001</v>
      </c>
      <c r="O71" s="1039">
        <f t="shared" si="41"/>
        <v>95750</v>
      </c>
      <c r="P71" s="1039">
        <f t="shared" si="41"/>
        <v>131000.00000000001</v>
      </c>
      <c r="R71"/>
      <c r="S71"/>
      <c r="T71"/>
      <c r="U71"/>
      <c r="V71"/>
      <c r="W71"/>
      <c r="X71"/>
      <c r="Y71"/>
      <c r="Z71"/>
      <c r="AA71"/>
      <c r="AB71"/>
      <c r="AC71"/>
      <c r="AD71"/>
      <c r="AE71"/>
      <c r="AF71"/>
    </row>
    <row r="72" spans="2:32" ht="18" customHeight="1" outlineLevel="1">
      <c r="B72" s="1140" t="s">
        <v>766</v>
      </c>
      <c r="C72" s="158" t="s">
        <v>733</v>
      </c>
      <c r="D72" s="1037">
        <f>IF(SUM(E72:P72)&gt;0,SUM(E72:P72),"")</f>
        <v>479297</v>
      </c>
      <c r="E72" s="1037">
        <f>IF((E69*E66)&gt;0,(E69*E66),"")</f>
        <v>30000</v>
      </c>
      <c r="F72" s="1037">
        <f t="shared" ref="F72:P72" si="42">IF((F69*F66)&gt;0,(F69*F66),"")</f>
        <v>91625</v>
      </c>
      <c r="G72" s="1037">
        <f t="shared" si="42"/>
        <v>42000</v>
      </c>
      <c r="H72" s="1037">
        <f t="shared" si="42"/>
        <v>31500</v>
      </c>
      <c r="I72" s="1037">
        <f t="shared" si="42"/>
        <v>42000</v>
      </c>
      <c r="J72" s="1037">
        <f t="shared" si="42"/>
        <v>57791.999999999993</v>
      </c>
      <c r="K72" s="1037">
        <f t="shared" si="42"/>
        <v>52920</v>
      </c>
      <c r="L72" s="1037">
        <f t="shared" si="42"/>
        <v>68460</v>
      </c>
      <c r="M72" s="1037" t="str">
        <f t="shared" si="42"/>
        <v/>
      </c>
      <c r="N72" s="1037" t="str">
        <f t="shared" si="42"/>
        <v/>
      </c>
      <c r="O72" s="1037">
        <f t="shared" si="42"/>
        <v>42000</v>
      </c>
      <c r="P72" s="1037">
        <f t="shared" si="42"/>
        <v>21000</v>
      </c>
      <c r="S72"/>
      <c r="T72"/>
      <c r="U72"/>
      <c r="V72"/>
      <c r="W72"/>
      <c r="X72"/>
      <c r="Y72"/>
      <c r="Z72"/>
      <c r="AA72"/>
      <c r="AB72"/>
      <c r="AC72"/>
      <c r="AD72"/>
      <c r="AE72"/>
    </row>
    <row r="73" spans="2:32" ht="18" customHeight="1" outlineLevel="1">
      <c r="B73" s="1140" t="s">
        <v>766</v>
      </c>
      <c r="C73" s="158" t="s">
        <v>737</v>
      </c>
      <c r="D73" s="1037">
        <f t="shared" ref="D73" si="43">IF(SUM(E73:P73)&gt;0,SUM(E73:P73),"")</f>
        <v>1095646</v>
      </c>
      <c r="E73" s="1037">
        <f t="shared" ref="E73:P73" si="44">IF((E70*E67)&gt;0,(E70*E67),"")</f>
        <v>43896</v>
      </c>
      <c r="F73" s="1037">
        <f t="shared" si="44"/>
        <v>64375.000000000007</v>
      </c>
      <c r="G73" s="1037">
        <f t="shared" si="44"/>
        <v>144375</v>
      </c>
      <c r="H73" s="1037">
        <f t="shared" si="44"/>
        <v>90625</v>
      </c>
      <c r="I73" s="1037">
        <f t="shared" si="44"/>
        <v>146750</v>
      </c>
      <c r="J73" s="1037">
        <f t="shared" si="44"/>
        <v>131375.00000000003</v>
      </c>
      <c r="K73" s="1037">
        <f t="shared" si="44"/>
        <v>64750</v>
      </c>
      <c r="L73" s="1037">
        <f t="shared" si="44"/>
        <v>76250</v>
      </c>
      <c r="M73" s="1037">
        <f t="shared" si="44"/>
        <v>63749.999999999993</v>
      </c>
      <c r="N73" s="1037">
        <f t="shared" si="44"/>
        <v>105750.00000000001</v>
      </c>
      <c r="O73" s="1037">
        <f t="shared" si="44"/>
        <v>53750</v>
      </c>
      <c r="P73" s="1037">
        <f t="shared" si="44"/>
        <v>110000.00000000001</v>
      </c>
      <c r="S73"/>
      <c r="T73"/>
      <c r="U73"/>
      <c r="V73"/>
      <c r="W73"/>
      <c r="X73"/>
      <c r="Y73"/>
      <c r="Z73"/>
      <c r="AA73"/>
      <c r="AB73"/>
      <c r="AC73"/>
      <c r="AD73"/>
      <c r="AE73"/>
    </row>
    <row r="74" spans="2:32" s="1294" customFormat="1" ht="18" customHeight="1">
      <c r="B74" s="1353" t="s">
        <v>766</v>
      </c>
      <c r="C74" s="1345" t="s">
        <v>738</v>
      </c>
      <c r="D74" s="1040">
        <f>IFERROR(SUM(E74:P74),"")</f>
        <v>923031.86470000003</v>
      </c>
      <c r="E74" s="1040">
        <f>SUM(E75:E83)</f>
        <v>82200.126999999993</v>
      </c>
      <c r="F74" s="1040">
        <f t="shared" ref="F74:P74" si="45">SUM(F75:F83)</f>
        <v>69295.821599999996</v>
      </c>
      <c r="G74" s="1040">
        <f t="shared" si="45"/>
        <v>85135.679199999999</v>
      </c>
      <c r="H74" s="1040">
        <f t="shared" si="45"/>
        <v>83144.828800000003</v>
      </c>
      <c r="I74" s="1040">
        <f t="shared" si="45"/>
        <v>67816.254000000001</v>
      </c>
      <c r="J74" s="1040">
        <f t="shared" si="45"/>
        <v>78047.010999999999</v>
      </c>
      <c r="K74" s="1040">
        <f t="shared" si="45"/>
        <v>83319.266299999988</v>
      </c>
      <c r="L74" s="1040">
        <f t="shared" si="45"/>
        <v>90448.790999999997</v>
      </c>
      <c r="M74" s="1040">
        <f t="shared" si="45"/>
        <v>58094.018799999998</v>
      </c>
      <c r="N74" s="1040">
        <f t="shared" si="45"/>
        <v>68221.508799999996</v>
      </c>
      <c r="O74" s="1040">
        <f t="shared" si="45"/>
        <v>79826.868799999997</v>
      </c>
      <c r="P74" s="1040">
        <f t="shared" si="45"/>
        <v>77481.689400000003</v>
      </c>
      <c r="R74"/>
      <c r="S74"/>
      <c r="T74"/>
      <c r="U74"/>
      <c r="V74"/>
      <c r="W74"/>
      <c r="X74"/>
      <c r="Y74"/>
      <c r="Z74"/>
      <c r="AA74"/>
      <c r="AB74"/>
      <c r="AC74"/>
      <c r="AD74"/>
      <c r="AE74"/>
      <c r="AF74"/>
    </row>
    <row r="75" spans="2:32" ht="18" customHeight="1" outlineLevel="1">
      <c r="B75" s="1140" t="s">
        <v>766</v>
      </c>
      <c r="C75" s="1028" t="s">
        <v>757</v>
      </c>
      <c r="D75" s="1041">
        <f t="shared" ref="D75:D83" si="46">IF(SUM(E75:P75)&gt;0,SUM(E75:P75),"")</f>
        <v>612293.48900000006</v>
      </c>
      <c r="E75" s="1038">
        <v>50925.06</v>
      </c>
      <c r="F75" s="1038">
        <v>50925.06</v>
      </c>
      <c r="G75" s="1038">
        <v>50925.06</v>
      </c>
      <c r="H75" s="1038">
        <v>50925.06</v>
      </c>
      <c r="I75" s="1038">
        <v>50925.06</v>
      </c>
      <c r="J75" s="1038">
        <v>50925.06</v>
      </c>
      <c r="K75" s="1038">
        <v>50925.06</v>
      </c>
      <c r="L75" s="1038">
        <v>60637.5</v>
      </c>
      <c r="M75" s="1038">
        <v>40425</v>
      </c>
      <c r="N75" s="1038">
        <v>50925.06</v>
      </c>
      <c r="O75" s="1038">
        <v>50925.03</v>
      </c>
      <c r="P75" s="1038">
        <v>52905.478999999999</v>
      </c>
      <c r="S75"/>
      <c r="T75"/>
      <c r="U75"/>
      <c r="V75"/>
      <c r="W75"/>
      <c r="X75"/>
      <c r="Y75"/>
      <c r="Z75"/>
      <c r="AA75"/>
      <c r="AB75"/>
      <c r="AC75"/>
      <c r="AD75"/>
      <c r="AE75"/>
    </row>
    <row r="76" spans="2:32" ht="18" customHeight="1" outlineLevel="1">
      <c r="B76" s="1140" t="s">
        <v>766</v>
      </c>
      <c r="C76" s="1028" t="s">
        <v>756</v>
      </c>
      <c r="D76" s="1041">
        <f t="shared" si="46"/>
        <v>24724</v>
      </c>
      <c r="E76" s="1038"/>
      <c r="F76" s="1038">
        <v>3000</v>
      </c>
      <c r="G76" s="1038">
        <v>3696</v>
      </c>
      <c r="H76" s="1038">
        <v>3792</v>
      </c>
      <c r="I76" s="1038"/>
      <c r="J76" s="1038">
        <v>3936</v>
      </c>
      <c r="K76" s="1038">
        <v>3360</v>
      </c>
      <c r="L76" s="1038"/>
      <c r="M76" s="1038">
        <v>3630</v>
      </c>
      <c r="N76" s="1038"/>
      <c r="O76" s="1038">
        <v>3310</v>
      </c>
      <c r="P76" s="1038"/>
      <c r="S76"/>
      <c r="T76"/>
      <c r="U76"/>
      <c r="V76"/>
      <c r="W76"/>
      <c r="X76"/>
      <c r="Y76"/>
      <c r="Z76"/>
      <c r="AA76"/>
      <c r="AB76"/>
      <c r="AC76"/>
      <c r="AD76"/>
      <c r="AE76"/>
    </row>
    <row r="77" spans="2:32" ht="18" customHeight="1" outlineLevel="1">
      <c r="B77" s="1140" t="s">
        <v>766</v>
      </c>
      <c r="C77" s="1028" t="s">
        <v>724</v>
      </c>
      <c r="D77" s="1041" t="str">
        <f t="shared" si="46"/>
        <v/>
      </c>
      <c r="E77" s="1038"/>
      <c r="F77" s="1038"/>
      <c r="G77" s="1038"/>
      <c r="H77" s="1038"/>
      <c r="I77" s="1038"/>
      <c r="J77" s="1038"/>
      <c r="K77" s="1038"/>
      <c r="L77" s="1038"/>
      <c r="M77" s="1038"/>
      <c r="N77" s="1038"/>
      <c r="O77" s="1038"/>
      <c r="P77" s="1038"/>
      <c r="S77"/>
      <c r="T77"/>
      <c r="U77"/>
      <c r="V77"/>
      <c r="W77"/>
      <c r="X77"/>
      <c r="Y77"/>
      <c r="Z77"/>
      <c r="AA77"/>
      <c r="AB77"/>
      <c r="AC77"/>
      <c r="AD77"/>
      <c r="AE77"/>
    </row>
    <row r="78" spans="2:32" ht="18" customHeight="1" outlineLevel="1">
      <c r="B78" s="1140" t="s">
        <v>766</v>
      </c>
      <c r="C78" s="1028" t="s">
        <v>725</v>
      </c>
      <c r="D78" s="1041" t="str">
        <f t="shared" si="46"/>
        <v/>
      </c>
      <c r="E78" s="1038"/>
      <c r="F78" s="1038"/>
      <c r="G78" s="1038"/>
      <c r="H78" s="1038"/>
      <c r="I78" s="1038"/>
      <c r="J78" s="1038"/>
      <c r="K78" s="1038"/>
      <c r="L78" s="1038"/>
      <c r="M78" s="1038"/>
      <c r="N78" s="1038"/>
      <c r="O78" s="1038"/>
      <c r="P78" s="1038"/>
      <c r="S78"/>
      <c r="T78"/>
      <c r="U78"/>
      <c r="V78"/>
      <c r="W78"/>
      <c r="X78"/>
      <c r="Y78"/>
      <c r="Z78"/>
      <c r="AA78"/>
      <c r="AB78"/>
      <c r="AC78"/>
      <c r="AD78"/>
      <c r="AE78"/>
    </row>
    <row r="79" spans="2:32" ht="18" customHeight="1" outlineLevel="1">
      <c r="B79" s="1140" t="s">
        <v>766</v>
      </c>
      <c r="C79" s="1028" t="s">
        <v>726</v>
      </c>
      <c r="D79" s="1112">
        <f t="shared" si="46"/>
        <v>34918.997499999998</v>
      </c>
      <c r="E79" s="1038"/>
      <c r="F79" s="1038"/>
      <c r="G79" s="1038">
        <v>5007.5</v>
      </c>
      <c r="H79" s="1038">
        <v>4561.8900000000003</v>
      </c>
      <c r="I79" s="1038"/>
      <c r="J79" s="1038"/>
      <c r="K79" s="1038">
        <f>309.9575+5002.3</f>
        <v>5312.2574999999997</v>
      </c>
      <c r="L79" s="1038">
        <f>2535.17+6329.38</f>
        <v>8864.5499999999993</v>
      </c>
      <c r="M79" s="1038"/>
      <c r="N79" s="1038"/>
      <c r="O79" s="1038">
        <f>2737.71+5698.9</f>
        <v>8436.61</v>
      </c>
      <c r="P79" s="1038">
        <f>1019.19+1717</f>
        <v>2736.19</v>
      </c>
      <c r="S79"/>
      <c r="T79"/>
      <c r="U79"/>
      <c r="V79"/>
      <c r="W79"/>
      <c r="X79"/>
      <c r="Y79"/>
      <c r="Z79"/>
      <c r="AA79"/>
      <c r="AB79"/>
      <c r="AC79"/>
      <c r="AD79"/>
      <c r="AE79"/>
    </row>
    <row r="80" spans="2:32" ht="18" customHeight="1" outlineLevel="1">
      <c r="B80" s="1140" t="s">
        <v>766</v>
      </c>
      <c r="C80" s="1028" t="s">
        <v>721</v>
      </c>
      <c r="D80" s="1041">
        <f t="shared" si="46"/>
        <v>17955.86</v>
      </c>
      <c r="E80" s="1038"/>
      <c r="F80" s="1038"/>
      <c r="G80" s="1038">
        <v>5313.5</v>
      </c>
      <c r="H80" s="1038">
        <v>4641.8900000000003</v>
      </c>
      <c r="I80" s="1038"/>
      <c r="J80" s="1038">
        <v>350</v>
      </c>
      <c r="K80" s="1038">
        <v>7650.47</v>
      </c>
      <c r="L80" s="1038"/>
      <c r="M80" s="1038"/>
      <c r="N80" s="1038"/>
      <c r="O80" s="1038"/>
      <c r="P80" s="1038"/>
      <c r="S80"/>
      <c r="T80"/>
      <c r="U80"/>
      <c r="V80"/>
      <c r="W80"/>
      <c r="X80"/>
      <c r="Y80"/>
      <c r="Z80"/>
      <c r="AA80"/>
      <c r="AB80"/>
      <c r="AC80"/>
      <c r="AD80"/>
      <c r="AE80"/>
    </row>
    <row r="81" spans="2:32" ht="18" customHeight="1" outlineLevel="1">
      <c r="B81" s="1140" t="s">
        <v>766</v>
      </c>
      <c r="C81" s="158" t="s">
        <v>717</v>
      </c>
      <c r="D81" s="1041" t="str">
        <f t="shared" si="46"/>
        <v/>
      </c>
      <c r="E81" s="1038"/>
      <c r="F81" s="1038"/>
      <c r="G81" s="1038"/>
      <c r="H81" s="1038"/>
      <c r="I81" s="1038"/>
      <c r="J81" s="1038"/>
      <c r="K81" s="1038"/>
      <c r="L81" s="1038"/>
      <c r="M81" s="1038"/>
      <c r="N81" s="1038"/>
      <c r="O81" s="1038"/>
      <c r="P81" s="1038"/>
      <c r="S81"/>
      <c r="T81"/>
      <c r="U81"/>
      <c r="V81"/>
      <c r="W81"/>
      <c r="X81"/>
      <c r="Y81"/>
      <c r="Z81"/>
      <c r="AA81"/>
      <c r="AB81"/>
      <c r="AC81"/>
      <c r="AD81"/>
      <c r="AE81"/>
    </row>
    <row r="82" spans="2:32" ht="18" customHeight="1" outlineLevel="1">
      <c r="B82" s="1140" t="s">
        <v>766</v>
      </c>
      <c r="C82" s="158" t="s">
        <v>718</v>
      </c>
      <c r="D82" s="1041">
        <f t="shared" si="46"/>
        <v>199898.76320000002</v>
      </c>
      <c r="E82" s="1038">
        <v>31275.066999999999</v>
      </c>
      <c r="F82" s="1038">
        <v>11583.636600000002</v>
      </c>
      <c r="G82" s="1038">
        <v>18566.9892</v>
      </c>
      <c r="H82" s="1038">
        <v>14444.8488</v>
      </c>
      <c r="I82" s="1038">
        <v>16891.194000000003</v>
      </c>
      <c r="J82" s="1038">
        <v>18056.061000000002</v>
      </c>
      <c r="K82" s="1038">
        <v>14444.8488</v>
      </c>
      <c r="L82" s="1038">
        <v>15821.061</v>
      </c>
      <c r="M82" s="1038">
        <v>12464.848800000002</v>
      </c>
      <c r="N82" s="1038">
        <v>12464.8488</v>
      </c>
      <c r="O82" s="1038">
        <v>15581.058800000001</v>
      </c>
      <c r="P82" s="1038">
        <v>18304.3004</v>
      </c>
      <c r="S82"/>
      <c r="T82"/>
      <c r="U82"/>
      <c r="V82"/>
      <c r="W82"/>
      <c r="X82"/>
      <c r="Y82"/>
      <c r="Z82"/>
      <c r="AA82"/>
      <c r="AB82"/>
      <c r="AC82"/>
      <c r="AD82"/>
      <c r="AE82"/>
    </row>
    <row r="83" spans="2:32" ht="18" customHeight="1" outlineLevel="1">
      <c r="B83" s="1140" t="s">
        <v>766</v>
      </c>
      <c r="C83" s="158" t="s">
        <v>719</v>
      </c>
      <c r="D83" s="1041">
        <f t="shared" si="46"/>
        <v>33240.754999999997</v>
      </c>
      <c r="E83" s="1038"/>
      <c r="F83" s="1038">
        <v>3787.125</v>
      </c>
      <c r="G83" s="1038">
        <v>1626.6300000000003</v>
      </c>
      <c r="H83" s="1038">
        <v>4779.1400000000003</v>
      </c>
      <c r="I83" s="1038"/>
      <c r="J83" s="1038">
        <v>4779.8900000000003</v>
      </c>
      <c r="K83" s="1038">
        <v>1626.63</v>
      </c>
      <c r="L83" s="1038">
        <v>5125.68</v>
      </c>
      <c r="M83" s="1038">
        <v>1574.17</v>
      </c>
      <c r="N83" s="1038">
        <v>4831.6000000000004</v>
      </c>
      <c r="O83" s="1038">
        <v>1574.17</v>
      </c>
      <c r="P83" s="1038">
        <v>3535.7200000000003</v>
      </c>
      <c r="S83"/>
      <c r="T83"/>
      <c r="U83"/>
      <c r="V83"/>
      <c r="W83"/>
      <c r="X83"/>
      <c r="Y83"/>
      <c r="Z83"/>
      <c r="AA83"/>
      <c r="AB83"/>
      <c r="AC83"/>
      <c r="AD83"/>
      <c r="AE83"/>
    </row>
    <row r="84" spans="2:32" s="1294" customFormat="1" ht="18" customHeight="1" thickBot="1">
      <c r="B84" s="1353" t="s">
        <v>766</v>
      </c>
      <c r="C84" s="1346" t="s">
        <v>716</v>
      </c>
      <c r="D84" s="1044">
        <f>IFERROR(SUM(E84:P84),"")</f>
        <v>651911.1353000002</v>
      </c>
      <c r="E84" s="1044">
        <f>(E71-E74)</f>
        <v>-8304.1269999999931</v>
      </c>
      <c r="F84" s="1044">
        <f t="shared" ref="F84:P84" si="47">(F71-F74)</f>
        <v>86704.178400000004</v>
      </c>
      <c r="G84" s="1044">
        <f t="shared" si="47"/>
        <v>101239.3208</v>
      </c>
      <c r="H84" s="1044">
        <f t="shared" si="47"/>
        <v>38980.171199999997</v>
      </c>
      <c r="I84" s="1044">
        <f t="shared" si="47"/>
        <v>120933.746</v>
      </c>
      <c r="J84" s="1044">
        <f t="shared" si="47"/>
        <v>111119.98900000003</v>
      </c>
      <c r="K84" s="1044">
        <f t="shared" si="47"/>
        <v>34350.733700000012</v>
      </c>
      <c r="L84" s="1044">
        <f t="shared" si="47"/>
        <v>54261.209000000003</v>
      </c>
      <c r="M84" s="1044">
        <f t="shared" si="47"/>
        <v>5655.9811999999947</v>
      </c>
      <c r="N84" s="1044">
        <f t="shared" si="47"/>
        <v>37528.491200000019</v>
      </c>
      <c r="O84" s="1044">
        <f t="shared" si="47"/>
        <v>15923.131200000003</v>
      </c>
      <c r="P84" s="1044">
        <f t="shared" si="47"/>
        <v>53518.310600000012</v>
      </c>
      <c r="R84"/>
      <c r="S84"/>
      <c r="T84"/>
      <c r="U84"/>
      <c r="V84"/>
      <c r="W84"/>
      <c r="X84"/>
      <c r="Y84"/>
      <c r="Z84"/>
      <c r="AA84"/>
      <c r="AB84"/>
      <c r="AC84"/>
      <c r="AD84"/>
      <c r="AE84"/>
      <c r="AF84"/>
    </row>
    <row r="85" spans="2:32" ht="15.75" outlineLevel="1" thickTop="1">
      <c r="B85" s="1140" t="s">
        <v>766</v>
      </c>
      <c r="C85" s="1049"/>
      <c r="D85" s="1049">
        <f>IFERROR(D84/D71,"")</f>
        <v>0.41392681214494759</v>
      </c>
      <c r="E85" s="1049">
        <f t="shared" ref="E85:P85" si="48">IFERROR(E84/E71,"")</f>
        <v>-0.11237586608206118</v>
      </c>
      <c r="F85" s="1049">
        <f t="shared" si="48"/>
        <v>0.55579601538461543</v>
      </c>
      <c r="G85" s="1049">
        <f t="shared" si="48"/>
        <v>0.54320225781354792</v>
      </c>
      <c r="H85" s="1049">
        <f t="shared" si="48"/>
        <v>0.31918256867963152</v>
      </c>
      <c r="I85" s="1049">
        <f t="shared" si="48"/>
        <v>0.64070858807947018</v>
      </c>
      <c r="J85" s="1049">
        <f t="shared" si="48"/>
        <v>0.58741740895610761</v>
      </c>
      <c r="K85" s="1049">
        <f t="shared" si="48"/>
        <v>0.29192431120931428</v>
      </c>
      <c r="L85" s="1049">
        <f t="shared" si="48"/>
        <v>0.3749651648123834</v>
      </c>
      <c r="M85" s="1049">
        <f t="shared" si="48"/>
        <v>8.872127372549013E-2</v>
      </c>
      <c r="N85" s="1049">
        <f t="shared" si="48"/>
        <v>0.35487934940898358</v>
      </c>
      <c r="O85" s="1049">
        <f t="shared" si="48"/>
        <v>0.16629902036553529</v>
      </c>
      <c r="P85" s="1049">
        <f t="shared" si="48"/>
        <v>0.40853672213740461</v>
      </c>
      <c r="S85"/>
      <c r="T85"/>
      <c r="U85"/>
      <c r="V85"/>
      <c r="W85"/>
      <c r="X85"/>
      <c r="Y85"/>
      <c r="Z85"/>
      <c r="AA85"/>
      <c r="AB85"/>
      <c r="AC85"/>
      <c r="AD85"/>
      <c r="AE85"/>
    </row>
    <row r="86" spans="2:32" s="1294" customFormat="1" ht="18" customHeight="1">
      <c r="B86" s="1353" t="s">
        <v>766</v>
      </c>
      <c r="C86" s="1347" t="s">
        <v>740</v>
      </c>
      <c r="D86" s="1043">
        <f t="shared" ref="D86:D96" si="49">IF(SUM(E86:P86)&gt;0,SUM(E86:P86),"")</f>
        <v>378991.09583849995</v>
      </c>
      <c r="E86" s="1043">
        <f>SUM(E87:E94)</f>
        <v>38779.620499999997</v>
      </c>
      <c r="F86" s="1043">
        <f>SUM(F87:F94)</f>
        <v>26339.09418</v>
      </c>
      <c r="G86" s="1043">
        <f>SUM(G87:G94)</f>
        <v>29659.022758499999</v>
      </c>
      <c r="H86" s="1043">
        <f>SUM(H87:H94)</f>
        <v>31267.582399999999</v>
      </c>
      <c r="I86" s="1043">
        <f t="shared" ref="I86:P86" si="50">SUM(I87:I94)</f>
        <v>26819.4764</v>
      </c>
      <c r="J86" s="1043">
        <f t="shared" si="50"/>
        <v>38534.054000000004</v>
      </c>
      <c r="K86" s="1043">
        <f t="shared" si="50"/>
        <v>28447.041399999998</v>
      </c>
      <c r="L86" s="1043">
        <f t="shared" si="50"/>
        <v>38985.147400000009</v>
      </c>
      <c r="M86" s="1043">
        <f t="shared" si="50"/>
        <v>23279.400900000001</v>
      </c>
      <c r="N86" s="1043">
        <f t="shared" si="50"/>
        <v>30968.425899999998</v>
      </c>
      <c r="O86" s="1043">
        <f t="shared" si="50"/>
        <v>34726.764400000007</v>
      </c>
      <c r="P86" s="1043">
        <f t="shared" si="50"/>
        <v>31185.4656</v>
      </c>
      <c r="R86"/>
      <c r="S86"/>
      <c r="T86"/>
      <c r="U86"/>
      <c r="V86"/>
      <c r="W86"/>
      <c r="X86"/>
      <c r="Y86"/>
      <c r="Z86"/>
      <c r="AA86"/>
      <c r="AB86"/>
      <c r="AC86"/>
      <c r="AD86"/>
      <c r="AE86"/>
      <c r="AF86"/>
    </row>
    <row r="87" spans="2:32" ht="18" customHeight="1" outlineLevel="1">
      <c r="B87" s="1140" t="s">
        <v>766</v>
      </c>
      <c r="C87" s="158" t="s">
        <v>720</v>
      </c>
      <c r="D87" s="1041">
        <f t="shared" si="49"/>
        <v>207591.01</v>
      </c>
      <c r="E87" s="1038">
        <v>27274.034999999996</v>
      </c>
      <c r="F87" s="1038">
        <v>11144.611800000001</v>
      </c>
      <c r="G87" s="1038">
        <v>17336.0628</v>
      </c>
      <c r="H87" s="1038">
        <v>14859.482400000001</v>
      </c>
      <c r="I87" s="1038">
        <v>14859.482400000001</v>
      </c>
      <c r="J87" s="1038">
        <v>18574.352999999999</v>
      </c>
      <c r="K87" s="1038">
        <v>14859.482400000001</v>
      </c>
      <c r="L87" s="1038">
        <v>21502.377400000005</v>
      </c>
      <c r="M87" s="1038">
        <v>13096.157400000002</v>
      </c>
      <c r="N87" s="1038">
        <v>16899.482400000001</v>
      </c>
      <c r="O87" s="1038">
        <v>21124.3524</v>
      </c>
      <c r="P87" s="1038">
        <v>16061.1306</v>
      </c>
      <c r="S87"/>
      <c r="T87"/>
      <c r="U87"/>
      <c r="V87"/>
      <c r="W87"/>
      <c r="X87"/>
      <c r="Y87"/>
      <c r="Z87"/>
      <c r="AA87"/>
      <c r="AB87"/>
      <c r="AC87"/>
      <c r="AD87"/>
      <c r="AE87"/>
    </row>
    <row r="88" spans="2:32" ht="18" customHeight="1" outlineLevel="1">
      <c r="B88" s="1140" t="s">
        <v>766</v>
      </c>
      <c r="C88" s="158" t="s">
        <v>719</v>
      </c>
      <c r="D88" s="1041">
        <f t="shared" si="49"/>
        <v>40080.660000000003</v>
      </c>
      <c r="E88" s="1038"/>
      <c r="F88" s="1038">
        <v>5824.03</v>
      </c>
      <c r="G88" s="1038">
        <v>1953.8</v>
      </c>
      <c r="H88" s="1038">
        <v>6035.85</v>
      </c>
      <c r="I88" s="1038">
        <v>1953.8</v>
      </c>
      <c r="J88" s="1038">
        <v>6035.1</v>
      </c>
      <c r="K88" s="1038">
        <v>1953.8</v>
      </c>
      <c r="L88" s="1038">
        <v>6166.84</v>
      </c>
      <c r="M88" s="1038">
        <v>1890</v>
      </c>
      <c r="N88" s="1038">
        <v>1953.8</v>
      </c>
      <c r="O88" s="1038">
        <v>1890.75</v>
      </c>
      <c r="P88" s="1038">
        <v>4422.8900000000003</v>
      </c>
      <c r="S88"/>
      <c r="T88"/>
      <c r="U88"/>
      <c r="V88"/>
      <c r="W88"/>
      <c r="X88"/>
      <c r="Y88"/>
      <c r="Z88"/>
      <c r="AA88"/>
      <c r="AB88"/>
      <c r="AC88"/>
      <c r="AD88"/>
      <c r="AE88"/>
    </row>
    <row r="89" spans="2:32" ht="18" customHeight="1" outlineLevel="1">
      <c r="B89" s="1140" t="s">
        <v>766</v>
      </c>
      <c r="C89" s="158" t="s">
        <v>717</v>
      </c>
      <c r="D89" s="1041">
        <f t="shared" si="49"/>
        <v>78069.883990000002</v>
      </c>
      <c r="E89" s="1038">
        <v>7580.130000000001</v>
      </c>
      <c r="F89" s="1038">
        <v>5493.9053799999992</v>
      </c>
      <c r="G89" s="1038">
        <v>6014.6186099999995</v>
      </c>
      <c r="H89" s="1038">
        <v>6364.4699999999993</v>
      </c>
      <c r="I89" s="1038">
        <v>6086.93</v>
      </c>
      <c r="J89" s="1038">
        <v>9536.8000000000011</v>
      </c>
      <c r="K89" s="1038">
        <v>5837.9800000000005</v>
      </c>
      <c r="L89" s="1038">
        <v>7470.630000000001</v>
      </c>
      <c r="M89" s="1038">
        <v>4463.17</v>
      </c>
      <c r="N89" s="1038">
        <v>6330.61</v>
      </c>
      <c r="O89" s="1038">
        <v>6412.2300000000014</v>
      </c>
      <c r="P89" s="1038">
        <v>6478.41</v>
      </c>
      <c r="S89"/>
      <c r="T89"/>
      <c r="U89"/>
      <c r="V89"/>
      <c r="W89"/>
      <c r="X89"/>
      <c r="Y89"/>
      <c r="Z89"/>
      <c r="AA89"/>
      <c r="AB89"/>
      <c r="AC89"/>
      <c r="AD89"/>
      <c r="AE89"/>
    </row>
    <row r="90" spans="2:32" ht="18" customHeight="1" outlineLevel="1">
      <c r="B90" s="1140" t="s">
        <v>766</v>
      </c>
      <c r="C90" s="158" t="s">
        <v>726</v>
      </c>
      <c r="D90" s="1041">
        <f t="shared" si="49"/>
        <v>5521.1</v>
      </c>
      <c r="E90" s="1038"/>
      <c r="F90" s="1038"/>
      <c r="G90" s="1038"/>
      <c r="H90" s="1038"/>
      <c r="I90" s="1038"/>
      <c r="J90" s="1038"/>
      <c r="K90" s="1038">
        <v>1988.21</v>
      </c>
      <c r="L90" s="1038"/>
      <c r="M90" s="1038"/>
      <c r="N90" s="1038">
        <v>1851.1</v>
      </c>
      <c r="O90" s="1038">
        <v>1351.66</v>
      </c>
      <c r="P90" s="1038">
        <v>330.13</v>
      </c>
      <c r="S90"/>
      <c r="T90"/>
      <c r="U90"/>
      <c r="V90"/>
      <c r="W90"/>
      <c r="X90"/>
      <c r="Y90"/>
      <c r="Z90"/>
      <c r="AA90"/>
      <c r="AB90"/>
      <c r="AC90"/>
      <c r="AD90"/>
      <c r="AE90"/>
    </row>
    <row r="91" spans="2:32" ht="18" customHeight="1" outlineLevel="1">
      <c r="B91" s="1140" t="s">
        <v>766</v>
      </c>
      <c r="C91" s="1028" t="s">
        <v>721</v>
      </c>
      <c r="D91" s="1041">
        <f t="shared" si="49"/>
        <v>1186</v>
      </c>
      <c r="E91" s="1038"/>
      <c r="F91" s="1038">
        <v>100</v>
      </c>
      <c r="G91" s="1038">
        <v>506</v>
      </c>
      <c r="H91" s="1038">
        <v>80</v>
      </c>
      <c r="I91" s="1038"/>
      <c r="J91" s="1038">
        <v>500</v>
      </c>
      <c r="K91" s="1038"/>
      <c r="L91" s="1038"/>
      <c r="M91" s="1038"/>
      <c r="N91" s="1038"/>
      <c r="O91" s="1038"/>
      <c r="P91" s="1038"/>
      <c r="S91"/>
      <c r="T91"/>
      <c r="U91"/>
      <c r="V91"/>
      <c r="W91"/>
      <c r="X91"/>
      <c r="Y91"/>
      <c r="Z91"/>
      <c r="AA91"/>
      <c r="AB91"/>
      <c r="AC91"/>
      <c r="AD91"/>
      <c r="AE91"/>
    </row>
    <row r="92" spans="2:32" ht="18" customHeight="1" outlineLevel="1">
      <c r="B92" s="1140" t="s">
        <v>766</v>
      </c>
      <c r="C92" s="158" t="s">
        <v>752</v>
      </c>
      <c r="D92" s="1041">
        <f t="shared" ref="D92:D94" si="51">IF(SUM(E92:P92)&gt;0,SUM(E92:P92),"")</f>
        <v>40803.49</v>
      </c>
      <c r="E92" s="1068">
        <f>((15693.65*52)/12)*0.05</f>
        <v>3400.2908333333335</v>
      </c>
      <c r="F92" s="1068">
        <f>((15693.65*52)/12)*0.05</f>
        <v>3400.2908333333335</v>
      </c>
      <c r="G92" s="1068">
        <f t="shared" ref="G92:P92" si="52">((15693.65*52)/12)*0.05</f>
        <v>3400.2908333333335</v>
      </c>
      <c r="H92" s="1068">
        <f t="shared" si="52"/>
        <v>3400.2908333333335</v>
      </c>
      <c r="I92" s="1068">
        <f t="shared" si="52"/>
        <v>3400.2908333333335</v>
      </c>
      <c r="J92" s="1068">
        <f t="shared" si="52"/>
        <v>3400.2908333333335</v>
      </c>
      <c r="K92" s="1068">
        <f t="shared" si="52"/>
        <v>3400.2908333333335</v>
      </c>
      <c r="L92" s="1068">
        <f t="shared" si="52"/>
        <v>3400.2908333333335</v>
      </c>
      <c r="M92" s="1068">
        <f t="shared" si="52"/>
        <v>3400.2908333333335</v>
      </c>
      <c r="N92" s="1068">
        <f t="shared" si="52"/>
        <v>3400.2908333333335</v>
      </c>
      <c r="O92" s="1068">
        <f t="shared" si="52"/>
        <v>3400.2908333333335</v>
      </c>
      <c r="P92" s="1068">
        <f t="shared" si="52"/>
        <v>3400.2908333333335</v>
      </c>
      <c r="S92"/>
      <c r="T92"/>
      <c r="U92"/>
      <c r="V92"/>
      <c r="W92"/>
      <c r="X92"/>
      <c r="Y92"/>
      <c r="Z92"/>
      <c r="AA92"/>
      <c r="AB92"/>
      <c r="AC92"/>
      <c r="AD92"/>
      <c r="AE92"/>
    </row>
    <row r="93" spans="2:32" ht="18" customHeight="1" outlineLevel="1">
      <c r="B93" s="1140" t="s">
        <v>766</v>
      </c>
      <c r="C93" s="158" t="s">
        <v>384</v>
      </c>
      <c r="D93" s="1041">
        <f t="shared" si="51"/>
        <v>816.06200000000024</v>
      </c>
      <c r="E93" s="1068">
        <f>((313.87*52)/12)*0.05</f>
        <v>68.005166666666668</v>
      </c>
      <c r="F93" s="1068">
        <f t="shared" ref="F93:P93" si="53">((313.87*52)/12)*0.05</f>
        <v>68.005166666666668</v>
      </c>
      <c r="G93" s="1068">
        <f t="shared" si="53"/>
        <v>68.005166666666668</v>
      </c>
      <c r="H93" s="1068">
        <f t="shared" si="53"/>
        <v>68.005166666666668</v>
      </c>
      <c r="I93" s="1068">
        <f t="shared" si="53"/>
        <v>68.005166666666668</v>
      </c>
      <c r="J93" s="1068">
        <f t="shared" si="53"/>
        <v>68.005166666666668</v>
      </c>
      <c r="K93" s="1068">
        <f t="shared" si="53"/>
        <v>68.005166666666668</v>
      </c>
      <c r="L93" s="1068">
        <f t="shared" si="53"/>
        <v>68.005166666666668</v>
      </c>
      <c r="M93" s="1068">
        <f t="shared" si="53"/>
        <v>68.005166666666668</v>
      </c>
      <c r="N93" s="1068">
        <f t="shared" si="53"/>
        <v>68.005166666666668</v>
      </c>
      <c r="O93" s="1068">
        <f t="shared" si="53"/>
        <v>68.005166666666668</v>
      </c>
      <c r="P93" s="1068">
        <f t="shared" si="53"/>
        <v>68.005166666666668</v>
      </c>
      <c r="S93"/>
      <c r="T93"/>
      <c r="U93"/>
      <c r="V93"/>
      <c r="W93"/>
      <c r="X93"/>
      <c r="Y93"/>
      <c r="Z93"/>
      <c r="AA93"/>
      <c r="AB93"/>
      <c r="AC93"/>
      <c r="AD93"/>
      <c r="AE93"/>
    </row>
    <row r="94" spans="2:32" ht="18" customHeight="1" outlineLevel="1">
      <c r="B94" s="1140" t="s">
        <v>766</v>
      </c>
      <c r="C94" s="158" t="s">
        <v>717</v>
      </c>
      <c r="D94" s="1041">
        <f t="shared" si="51"/>
        <v>4922.8898485</v>
      </c>
      <c r="E94" s="1068">
        <f>9143.19*0.05</f>
        <v>457.15950000000004</v>
      </c>
      <c r="F94" s="1068">
        <f>6165.02*0.05</f>
        <v>308.25100000000003</v>
      </c>
      <c r="G94" s="1068">
        <f>7604.90697*0.05</f>
        <v>380.24534850000003</v>
      </c>
      <c r="H94" s="1068">
        <f>9189.68*0.05</f>
        <v>459.48400000000004</v>
      </c>
      <c r="I94" s="1068">
        <f>9019.36*0.05</f>
        <v>450.96800000000007</v>
      </c>
      <c r="J94" s="1068">
        <f>8390.1*0.05</f>
        <v>419.50500000000005</v>
      </c>
      <c r="K94" s="1068">
        <f>6785.46*0.05</f>
        <v>339.27300000000002</v>
      </c>
      <c r="L94" s="1068">
        <f>7540.08*0.05</f>
        <v>377.00400000000002</v>
      </c>
      <c r="M94" s="1068">
        <f>7235.55*0.05</f>
        <v>361.77750000000003</v>
      </c>
      <c r="N94" s="1068">
        <f>9302.75*0.05</f>
        <v>465.13750000000005</v>
      </c>
      <c r="O94" s="1068">
        <f>9589.52*0.05</f>
        <v>479.47600000000006</v>
      </c>
      <c r="P94" s="1068">
        <f>8492.18*0.05</f>
        <v>424.60900000000004</v>
      </c>
      <c r="S94"/>
      <c r="T94"/>
      <c r="U94"/>
      <c r="V94"/>
      <c r="W94"/>
      <c r="X94"/>
      <c r="Y94"/>
      <c r="Z94"/>
      <c r="AA94"/>
      <c r="AB94"/>
      <c r="AC94"/>
      <c r="AD94"/>
      <c r="AE94"/>
    </row>
    <row r="95" spans="2:32" s="1294" customFormat="1" ht="18" customHeight="1">
      <c r="B95" s="1353" t="s">
        <v>766</v>
      </c>
      <c r="C95" s="1345" t="s">
        <v>741</v>
      </c>
      <c r="D95" s="1039" t="str">
        <f t="shared" si="49"/>
        <v/>
      </c>
      <c r="E95" s="1039">
        <f>IF(SUM(E96:E96)&gt;0,SUM(E96:E96),0)</f>
        <v>0</v>
      </c>
      <c r="F95" s="1039">
        <f t="shared" ref="F95:P95" si="54">IF(SUM(F96:F96)&gt;0,SUM(F96:F96),0)</f>
        <v>0</v>
      </c>
      <c r="G95" s="1039">
        <f t="shared" si="54"/>
        <v>0</v>
      </c>
      <c r="H95" s="1039">
        <f t="shared" si="54"/>
        <v>0</v>
      </c>
      <c r="I95" s="1039">
        <f t="shared" si="54"/>
        <v>0</v>
      </c>
      <c r="J95" s="1039">
        <f t="shared" si="54"/>
        <v>0</v>
      </c>
      <c r="K95" s="1039">
        <f t="shared" si="54"/>
        <v>0</v>
      </c>
      <c r="L95" s="1039">
        <f t="shared" si="54"/>
        <v>0</v>
      </c>
      <c r="M95" s="1039">
        <f t="shared" si="54"/>
        <v>0</v>
      </c>
      <c r="N95" s="1039">
        <f t="shared" si="54"/>
        <v>0</v>
      </c>
      <c r="O95" s="1039">
        <f t="shared" si="54"/>
        <v>0</v>
      </c>
      <c r="P95" s="1039">
        <f t="shared" si="54"/>
        <v>0</v>
      </c>
      <c r="R95"/>
      <c r="S95"/>
      <c r="T95"/>
      <c r="U95"/>
      <c r="V95"/>
      <c r="W95"/>
      <c r="X95"/>
      <c r="Y95"/>
      <c r="Z95"/>
      <c r="AA95"/>
      <c r="AB95"/>
      <c r="AC95"/>
      <c r="AD95"/>
      <c r="AE95"/>
      <c r="AF95"/>
    </row>
    <row r="96" spans="2:32" ht="18" customHeight="1" outlineLevel="1" thickBot="1">
      <c r="B96" s="1140" t="s">
        <v>766</v>
      </c>
      <c r="C96" s="1028" t="s">
        <v>721</v>
      </c>
      <c r="D96" s="1037" t="str">
        <f t="shared" si="49"/>
        <v/>
      </c>
      <c r="E96" s="1038"/>
      <c r="F96" s="1038"/>
      <c r="G96" s="1038"/>
      <c r="H96" s="1038"/>
      <c r="I96" s="1038"/>
      <c r="J96" s="1038"/>
      <c r="K96" s="1038"/>
      <c r="L96" s="1038"/>
      <c r="M96" s="1038"/>
      <c r="N96" s="1038"/>
      <c r="O96" s="1038"/>
      <c r="P96" s="1038"/>
      <c r="S96"/>
      <c r="T96"/>
      <c r="U96"/>
      <c r="V96"/>
      <c r="W96"/>
      <c r="X96"/>
      <c r="Y96"/>
      <c r="Z96"/>
      <c r="AA96"/>
      <c r="AB96"/>
      <c r="AC96"/>
      <c r="AD96"/>
      <c r="AE96"/>
    </row>
    <row r="97" spans="2:32" s="1294" customFormat="1" ht="18" customHeight="1" thickTop="1" thickBot="1">
      <c r="B97" s="1353" t="s">
        <v>766</v>
      </c>
      <c r="C97" s="1348" t="s">
        <v>739</v>
      </c>
      <c r="D97" s="1048">
        <f>IFERROR(SUM(E97:P97),"")</f>
        <v>272920.03946150007</v>
      </c>
      <c r="E97" s="1048">
        <f>(E84-E86-E95)</f>
        <v>-47083.74749999999</v>
      </c>
      <c r="F97" s="1048">
        <f t="shared" ref="F97:P97" si="55">(F84-F86-F95)</f>
        <v>60365.084220000004</v>
      </c>
      <c r="G97" s="1048">
        <f t="shared" si="55"/>
        <v>71580.298041500006</v>
      </c>
      <c r="H97" s="1048">
        <f t="shared" si="55"/>
        <v>7712.5887999999977</v>
      </c>
      <c r="I97" s="1048">
        <f t="shared" si="55"/>
        <v>94114.2696</v>
      </c>
      <c r="J97" s="1048">
        <f t="shared" si="55"/>
        <v>72585.935000000027</v>
      </c>
      <c r="K97" s="1048">
        <f t="shared" si="55"/>
        <v>5903.6923000000133</v>
      </c>
      <c r="L97" s="1048">
        <f t="shared" si="55"/>
        <v>15276.061599999994</v>
      </c>
      <c r="M97" s="1048">
        <f t="shared" si="55"/>
        <v>-17623.419700000006</v>
      </c>
      <c r="N97" s="1048">
        <f t="shared" si="55"/>
        <v>6560.0653000000202</v>
      </c>
      <c r="O97" s="1048">
        <f t="shared" si="55"/>
        <v>-18803.633200000004</v>
      </c>
      <c r="P97" s="1048">
        <f t="shared" si="55"/>
        <v>22332.845000000012</v>
      </c>
      <c r="R97"/>
      <c r="S97"/>
      <c r="T97"/>
      <c r="U97"/>
      <c r="V97"/>
      <c r="W97"/>
      <c r="X97"/>
      <c r="Y97"/>
      <c r="Z97"/>
      <c r="AA97"/>
      <c r="AB97"/>
      <c r="AC97"/>
      <c r="AD97"/>
      <c r="AE97"/>
      <c r="AF97"/>
    </row>
    <row r="98" spans="2:32" ht="15.75" outlineLevel="1" thickTop="1">
      <c r="B98" s="1140" t="s">
        <v>766</v>
      </c>
      <c r="C98" s="1050"/>
      <c r="D98" s="1056">
        <f>IFERROR(D97/D71,"")</f>
        <v>0.17328883614295887</v>
      </c>
      <c r="E98" s="1056">
        <f t="shared" ref="E98:P98" si="56">IFERROR(E97/E71,"")</f>
        <v>-0.6371623294900941</v>
      </c>
      <c r="F98" s="1056">
        <f t="shared" si="56"/>
        <v>0.38695566807692311</v>
      </c>
      <c r="G98" s="1056">
        <f t="shared" si="56"/>
        <v>0.3840659854674715</v>
      </c>
      <c r="H98" s="1056">
        <f t="shared" si="56"/>
        <v>6.3153234800409394E-2</v>
      </c>
      <c r="I98" s="1056">
        <f t="shared" si="56"/>
        <v>0.49861864688741719</v>
      </c>
      <c r="J98" s="1056">
        <f t="shared" si="56"/>
        <v>0.38371351768543149</v>
      </c>
      <c r="K98" s="1056">
        <f t="shared" si="56"/>
        <v>5.0171601087787995E-2</v>
      </c>
      <c r="L98" s="1056">
        <f t="shared" si="56"/>
        <v>0.1055632755165503</v>
      </c>
      <c r="M98" s="1056">
        <f t="shared" si="56"/>
        <v>-0.27644579921568641</v>
      </c>
      <c r="N98" s="1056">
        <f t="shared" si="56"/>
        <v>6.2033714420803965E-2</v>
      </c>
      <c r="O98" s="1056">
        <f t="shared" si="56"/>
        <v>-0.19638259216710185</v>
      </c>
      <c r="P98" s="1056">
        <f t="shared" si="56"/>
        <v>0.17047973282442755</v>
      </c>
      <c r="S98"/>
      <c r="T98"/>
      <c r="U98"/>
      <c r="V98"/>
      <c r="W98"/>
      <c r="X98"/>
      <c r="Y98"/>
      <c r="Z98"/>
      <c r="AA98"/>
      <c r="AB98"/>
      <c r="AC98"/>
      <c r="AD98"/>
      <c r="AE98"/>
    </row>
    <row r="99" spans="2:32" s="1294" customFormat="1">
      <c r="B99" s="1353" t="s">
        <v>766</v>
      </c>
      <c r="C99" s="1349" t="s">
        <v>728</v>
      </c>
      <c r="D99" s="1066" t="str">
        <f t="shared" ref="D99" si="57">IF(SUM(E99:P99)&gt;0,SUM(E99:P99),"")</f>
        <v/>
      </c>
      <c r="E99" s="1067"/>
      <c r="F99" s="1067"/>
      <c r="G99" s="1067"/>
      <c r="H99" s="1067"/>
      <c r="I99" s="1067"/>
      <c r="J99" s="1067"/>
      <c r="K99" s="1067"/>
      <c r="L99" s="1067"/>
      <c r="M99" s="1067"/>
      <c r="N99" s="1067"/>
      <c r="O99" s="1067"/>
      <c r="P99" s="1067"/>
      <c r="R99"/>
      <c r="S99"/>
      <c r="T99"/>
      <c r="U99"/>
      <c r="V99"/>
      <c r="W99"/>
      <c r="X99"/>
      <c r="Y99"/>
      <c r="Z99"/>
      <c r="AA99"/>
      <c r="AB99"/>
      <c r="AC99"/>
      <c r="AD99"/>
      <c r="AE99"/>
      <c r="AF99"/>
    </row>
    <row r="100" spans="2:32" s="1294" customFormat="1" ht="18" customHeight="1">
      <c r="B100" s="1353" t="s">
        <v>766</v>
      </c>
      <c r="C100" s="1350" t="s">
        <v>742</v>
      </c>
      <c r="D100" s="1053">
        <f>IFERROR(SUM(E100:P100),"")</f>
        <v>1302022.9605385</v>
      </c>
      <c r="E100" s="1057">
        <f>SUM(E101:E103)</f>
        <v>120979.7475</v>
      </c>
      <c r="F100" s="1057">
        <f t="shared" ref="F100:P100" si="58">SUM(F101:F103)</f>
        <v>95634.915779999996</v>
      </c>
      <c r="G100" s="1057">
        <f t="shared" si="58"/>
        <v>114794.70195849999</v>
      </c>
      <c r="H100" s="1057">
        <f t="shared" si="58"/>
        <v>114412.4112</v>
      </c>
      <c r="I100" s="1057">
        <f t="shared" si="58"/>
        <v>94635.7304</v>
      </c>
      <c r="J100" s="1057">
        <f t="shared" si="58"/>
        <v>116581.065</v>
      </c>
      <c r="K100" s="1057">
        <f t="shared" si="58"/>
        <v>111766.30769999999</v>
      </c>
      <c r="L100" s="1057">
        <f t="shared" si="58"/>
        <v>129433.93840000001</v>
      </c>
      <c r="M100" s="1057">
        <f t="shared" si="58"/>
        <v>81373.419699999999</v>
      </c>
      <c r="N100" s="1057">
        <f t="shared" si="58"/>
        <v>99189.934699999998</v>
      </c>
      <c r="O100" s="1057">
        <f t="shared" si="58"/>
        <v>114553.63320000001</v>
      </c>
      <c r="P100" s="1057">
        <f t="shared" si="58"/>
        <v>108667.155</v>
      </c>
      <c r="R100"/>
      <c r="S100"/>
      <c r="T100"/>
      <c r="U100"/>
      <c r="V100"/>
      <c r="W100"/>
      <c r="X100"/>
      <c r="Y100"/>
      <c r="Z100"/>
      <c r="AA100"/>
      <c r="AB100"/>
      <c r="AC100"/>
      <c r="AD100"/>
      <c r="AE100"/>
      <c r="AF100"/>
    </row>
    <row r="101" spans="2:32" ht="18" customHeight="1" outlineLevel="1">
      <c r="B101" s="1140" t="s">
        <v>766</v>
      </c>
      <c r="C101" s="1058" t="s">
        <v>738</v>
      </c>
      <c r="D101" s="1059">
        <f>IF(SUM(E101:P101)&gt;0,SUM(E101:P101),"")</f>
        <v>923031.86470000003</v>
      </c>
      <c r="E101" s="1060">
        <f>(E74)</f>
        <v>82200.126999999993</v>
      </c>
      <c r="F101" s="1060">
        <f>(F74)</f>
        <v>69295.821599999996</v>
      </c>
      <c r="G101" s="1060">
        <f>(G74)</f>
        <v>85135.679199999999</v>
      </c>
      <c r="H101" s="1060">
        <f t="shared" ref="H101:P101" si="59">(H74)</f>
        <v>83144.828800000003</v>
      </c>
      <c r="I101" s="1060">
        <f t="shared" si="59"/>
        <v>67816.254000000001</v>
      </c>
      <c r="J101" s="1060">
        <f t="shared" si="59"/>
        <v>78047.010999999999</v>
      </c>
      <c r="K101" s="1060">
        <f t="shared" si="59"/>
        <v>83319.266299999988</v>
      </c>
      <c r="L101" s="1060">
        <f t="shared" si="59"/>
        <v>90448.790999999997</v>
      </c>
      <c r="M101" s="1060">
        <f t="shared" si="59"/>
        <v>58094.018799999998</v>
      </c>
      <c r="N101" s="1060">
        <f t="shared" si="59"/>
        <v>68221.508799999996</v>
      </c>
      <c r="O101" s="1060">
        <f t="shared" si="59"/>
        <v>79826.868799999997</v>
      </c>
      <c r="P101" s="1060">
        <f t="shared" si="59"/>
        <v>77481.689400000003</v>
      </c>
      <c r="S101"/>
      <c r="T101"/>
      <c r="U101"/>
      <c r="V101"/>
      <c r="W101"/>
      <c r="X101"/>
      <c r="Y101"/>
      <c r="Z101"/>
      <c r="AA101"/>
      <c r="AB101"/>
      <c r="AC101"/>
      <c r="AD101"/>
      <c r="AE101"/>
    </row>
    <row r="102" spans="2:32" ht="18" customHeight="1" outlineLevel="1">
      <c r="B102" s="1140" t="s">
        <v>766</v>
      </c>
      <c r="C102" s="1058" t="s">
        <v>740</v>
      </c>
      <c r="D102" s="1059">
        <f t="shared" ref="D102:D103" si="60">IF(SUM(E102:P102)&gt;0,SUM(E102:P102),"")</f>
        <v>378991.09583849995</v>
      </c>
      <c r="E102" s="1060">
        <f>(E86)</f>
        <v>38779.620499999997</v>
      </c>
      <c r="F102" s="1060">
        <f t="shared" ref="F102:P102" si="61">(F86)</f>
        <v>26339.09418</v>
      </c>
      <c r="G102" s="1060">
        <f t="shared" si="61"/>
        <v>29659.022758499999</v>
      </c>
      <c r="H102" s="1060">
        <f t="shared" si="61"/>
        <v>31267.582399999999</v>
      </c>
      <c r="I102" s="1060">
        <f t="shared" si="61"/>
        <v>26819.4764</v>
      </c>
      <c r="J102" s="1060">
        <f t="shared" si="61"/>
        <v>38534.054000000004</v>
      </c>
      <c r="K102" s="1060">
        <f t="shared" si="61"/>
        <v>28447.041399999998</v>
      </c>
      <c r="L102" s="1060">
        <f t="shared" si="61"/>
        <v>38985.147400000009</v>
      </c>
      <c r="M102" s="1060">
        <f t="shared" si="61"/>
        <v>23279.400900000001</v>
      </c>
      <c r="N102" s="1060">
        <f t="shared" si="61"/>
        <v>30968.425899999998</v>
      </c>
      <c r="O102" s="1060">
        <f t="shared" si="61"/>
        <v>34726.764400000007</v>
      </c>
      <c r="P102" s="1060">
        <f t="shared" si="61"/>
        <v>31185.4656</v>
      </c>
      <c r="S102"/>
      <c r="T102"/>
      <c r="U102"/>
      <c r="V102"/>
      <c r="W102"/>
      <c r="X102"/>
      <c r="Y102"/>
      <c r="Z102"/>
      <c r="AA102"/>
      <c r="AB102"/>
      <c r="AC102"/>
      <c r="AD102"/>
      <c r="AE102"/>
    </row>
    <row r="103" spans="2:32" ht="18" customHeight="1" outlineLevel="1">
      <c r="B103" s="1140" t="s">
        <v>766</v>
      </c>
      <c r="C103" s="1058" t="s">
        <v>741</v>
      </c>
      <c r="D103" s="1059" t="str">
        <f t="shared" si="60"/>
        <v/>
      </c>
      <c r="E103" s="1060">
        <f>(E95)</f>
        <v>0</v>
      </c>
      <c r="F103" s="1060">
        <f t="shared" ref="F103:P103" si="62">(F95)</f>
        <v>0</v>
      </c>
      <c r="G103" s="1060">
        <f t="shared" si="62"/>
        <v>0</v>
      </c>
      <c r="H103" s="1060">
        <f t="shared" si="62"/>
        <v>0</v>
      </c>
      <c r="I103" s="1060">
        <f t="shared" si="62"/>
        <v>0</v>
      </c>
      <c r="J103" s="1060">
        <f t="shared" si="62"/>
        <v>0</v>
      </c>
      <c r="K103" s="1060">
        <f t="shared" si="62"/>
        <v>0</v>
      </c>
      <c r="L103" s="1060">
        <f t="shared" si="62"/>
        <v>0</v>
      </c>
      <c r="M103" s="1060">
        <f t="shared" si="62"/>
        <v>0</v>
      </c>
      <c r="N103" s="1060">
        <f t="shared" si="62"/>
        <v>0</v>
      </c>
      <c r="O103" s="1060">
        <f t="shared" si="62"/>
        <v>0</v>
      </c>
      <c r="P103" s="1060">
        <f t="shared" si="62"/>
        <v>0</v>
      </c>
      <c r="S103"/>
      <c r="T103"/>
      <c r="U103"/>
      <c r="V103"/>
      <c r="W103"/>
      <c r="X103"/>
      <c r="Y103"/>
      <c r="Z103"/>
      <c r="AA103"/>
      <c r="AB103"/>
      <c r="AC103"/>
      <c r="AD103"/>
      <c r="AE103"/>
    </row>
    <row r="104" spans="2:32" s="1294" customFormat="1" ht="18" customHeight="1" thickBot="1">
      <c r="B104" s="1353" t="s">
        <v>766</v>
      </c>
      <c r="C104" s="1352" t="s">
        <v>758</v>
      </c>
      <c r="D104" s="1054">
        <f>SUMPRODUCT(E104:P104,E63:P63)/SUM(E63:P63)</f>
        <v>20149.227944389422</v>
      </c>
      <c r="E104" s="1055">
        <f>IFERROR((E100/E64),"")</f>
        <v>19428.255580536374</v>
      </c>
      <c r="F104" s="1055">
        <f>IFERROR((F100/F64),"")</f>
        <v>14866.301224933934</v>
      </c>
      <c r="G104" s="1055">
        <f>IFERROR((G100/G64),"")</f>
        <v>13936.469826210998</v>
      </c>
      <c r="H104" s="1055">
        <f>IFERROR((H100/H64),"")</f>
        <v>18811.642749095688</v>
      </c>
      <c r="I104" s="1055">
        <f>IFERROR((I100/I64),"")</f>
        <v>17876.035209671325</v>
      </c>
      <c r="J104" s="1055">
        <f t="shared" ref="J104:P104" si="63">IFERROR((J100/J64),"")</f>
        <v>20317.36929243639</v>
      </c>
      <c r="K104" s="1055">
        <f t="shared" si="63"/>
        <v>25693.404068965516</v>
      </c>
      <c r="L104" s="1055">
        <f t="shared" si="63"/>
        <v>25980.316820553995</v>
      </c>
      <c r="M104" s="1055">
        <f t="shared" si="63"/>
        <v>29730.880416514432</v>
      </c>
      <c r="N104" s="1055">
        <f t="shared" si="63"/>
        <v>25277.761136595313</v>
      </c>
      <c r="O104" s="1055">
        <f t="shared" si="63"/>
        <v>24404.26783127397</v>
      </c>
      <c r="P104" s="1055">
        <f t="shared" si="63"/>
        <v>18352.838203006249</v>
      </c>
      <c r="Q104" s="1051"/>
      <c r="R104"/>
      <c r="S104"/>
      <c r="T104"/>
      <c r="U104"/>
      <c r="V104"/>
      <c r="W104"/>
      <c r="X104"/>
      <c r="Y104"/>
      <c r="Z104"/>
      <c r="AA104"/>
      <c r="AB104"/>
      <c r="AC104"/>
      <c r="AD104"/>
      <c r="AE104"/>
      <c r="AF104"/>
    </row>
    <row r="105" spans="2:32" ht="18" customHeight="1" outlineLevel="1" thickTop="1">
      <c r="B105" s="1140" t="s">
        <v>766</v>
      </c>
      <c r="C105" s="1074" t="s">
        <v>665</v>
      </c>
      <c r="D105" s="1080">
        <f>IFERROR(((D106-D104)/D104),"")</f>
        <v>0.24074232863901276</v>
      </c>
      <c r="E105" s="1077">
        <f>IFERROR(((E106-E104)/E104),"")</f>
        <v>0.2867856250071939</v>
      </c>
      <c r="F105" s="1077">
        <f t="shared" ref="F105:P105" si="64">IFERROR(((F106-F104)/F104),"")</f>
        <v>0.68165568702924628</v>
      </c>
      <c r="G105" s="1077">
        <f t="shared" si="64"/>
        <v>0.79385456372755758</v>
      </c>
      <c r="H105" s="1077">
        <f t="shared" si="64"/>
        <v>0.32896421293147288</v>
      </c>
      <c r="I105" s="1077">
        <f t="shared" si="64"/>
        <v>0.39852040493153956</v>
      </c>
      <c r="J105" s="1077">
        <f t="shared" si="64"/>
        <v>0.2304742626943749</v>
      </c>
      <c r="K105" s="1077">
        <f t="shared" si="64"/>
        <v>-2.6987629475031801E-2</v>
      </c>
      <c r="L105" s="1077">
        <f t="shared" si="64"/>
        <v>-3.7733058735389631E-2</v>
      </c>
      <c r="M105" s="1077">
        <f t="shared" si="64"/>
        <v>-0.15912345514956894</v>
      </c>
      <c r="N105" s="1077">
        <f t="shared" si="64"/>
        <v>-1.0988359890512223E-2</v>
      </c>
      <c r="O105" s="1077">
        <f t="shared" si="64"/>
        <v>2.441098306430655E-2</v>
      </c>
      <c r="P105" s="1077">
        <f t="shared" si="64"/>
        <v>0.36218713004863334</v>
      </c>
      <c r="Q105" s="1051"/>
      <c r="S105"/>
      <c r="T105"/>
      <c r="U105"/>
      <c r="V105"/>
      <c r="W105"/>
      <c r="X105"/>
      <c r="Y105"/>
      <c r="Z105"/>
      <c r="AA105"/>
      <c r="AB105"/>
      <c r="AC105"/>
      <c r="AD105"/>
      <c r="AE105"/>
    </row>
    <row r="106" spans="2:32" ht="18" customHeight="1" outlineLevel="1">
      <c r="B106" s="1140" t="s">
        <v>766</v>
      </c>
      <c r="C106" s="1082" t="s">
        <v>747</v>
      </c>
      <c r="D106" s="1081">
        <f>IF(AVERAGE(E106:P106)&gt;0,AVERAGE(E106:P106),"")</f>
        <v>25000</v>
      </c>
      <c r="E106" s="1076">
        <v>25000</v>
      </c>
      <c r="F106" s="1076">
        <v>25000</v>
      </c>
      <c r="G106" s="1076">
        <v>25000</v>
      </c>
      <c r="H106" s="1076">
        <v>25000</v>
      </c>
      <c r="I106" s="1076">
        <v>25000</v>
      </c>
      <c r="J106" s="1076">
        <v>25000</v>
      </c>
      <c r="K106" s="1076">
        <v>25000</v>
      </c>
      <c r="L106" s="1076">
        <v>25000</v>
      </c>
      <c r="M106" s="1076">
        <v>25000</v>
      </c>
      <c r="N106" s="1076">
        <v>25000</v>
      </c>
      <c r="O106" s="1076">
        <v>25000</v>
      </c>
      <c r="P106" s="1076">
        <v>25000</v>
      </c>
      <c r="Q106" s="1051"/>
      <c r="S106"/>
      <c r="T106"/>
      <c r="U106"/>
      <c r="V106"/>
      <c r="W106"/>
      <c r="X106"/>
      <c r="Y106"/>
      <c r="Z106"/>
      <c r="AA106"/>
      <c r="AB106"/>
      <c r="AC106"/>
      <c r="AD106"/>
      <c r="AE106"/>
    </row>
    <row r="107" spans="2:32" ht="18" customHeight="1" outlineLevel="1">
      <c r="B107" s="1140" t="s">
        <v>766</v>
      </c>
      <c r="C107" s="1075" t="s">
        <v>665</v>
      </c>
      <c r="D107" s="1083">
        <f>IFERROR(((D108-D104)/D104),"")</f>
        <v>1.0844471121135415</v>
      </c>
      <c r="E107" s="1078">
        <f>IFERROR(((E108-E104)/E104),"")</f>
        <v>1.1617998500120856</v>
      </c>
      <c r="F107" s="1078">
        <f t="shared" ref="F107:P107" si="65">IFERROR(((F108-F104)/F104),"")</f>
        <v>1.8251815542091339</v>
      </c>
      <c r="G107" s="1078">
        <f t="shared" si="65"/>
        <v>2.0136756670622971</v>
      </c>
      <c r="H107" s="1078">
        <f t="shared" si="65"/>
        <v>1.2326598777248745</v>
      </c>
      <c r="I107" s="1078">
        <f t="shared" si="65"/>
        <v>1.3495142802849864</v>
      </c>
      <c r="J107" s="1078">
        <f t="shared" si="65"/>
        <v>1.0671967613265498</v>
      </c>
      <c r="K107" s="1078">
        <f t="shared" si="65"/>
        <v>0.63466078248194657</v>
      </c>
      <c r="L107" s="1078">
        <f t="shared" si="65"/>
        <v>0.61660846132454539</v>
      </c>
      <c r="M107" s="1078">
        <f t="shared" si="65"/>
        <v>0.41267259534872419</v>
      </c>
      <c r="N107" s="1078">
        <f t="shared" si="65"/>
        <v>0.66153955538393949</v>
      </c>
      <c r="O107" s="1078">
        <f t="shared" si="65"/>
        <v>0.721010451548035</v>
      </c>
      <c r="P107" s="1078">
        <f t="shared" si="65"/>
        <v>1.2884743784817041</v>
      </c>
      <c r="Q107" s="1051"/>
      <c r="S107"/>
      <c r="T107"/>
      <c r="U107"/>
      <c r="V107"/>
      <c r="W107"/>
      <c r="X107"/>
      <c r="Y107"/>
      <c r="Z107"/>
      <c r="AA107"/>
      <c r="AB107"/>
      <c r="AC107"/>
      <c r="AD107"/>
      <c r="AE107"/>
    </row>
    <row r="108" spans="2:32" ht="18" customHeight="1" outlineLevel="1" thickBot="1">
      <c r="B108" s="1140" t="s">
        <v>766</v>
      </c>
      <c r="C108" s="1082" t="s">
        <v>735</v>
      </c>
      <c r="D108" s="1079">
        <f>IF(AVERAGE(E108:P108)&gt;0,AVERAGE(E108:P108),"")</f>
        <v>42000</v>
      </c>
      <c r="E108" s="1076">
        <v>42000</v>
      </c>
      <c r="F108" s="1076">
        <v>42000</v>
      </c>
      <c r="G108" s="1076">
        <v>42000</v>
      </c>
      <c r="H108" s="1076">
        <v>42000</v>
      </c>
      <c r="I108" s="1076">
        <v>42000</v>
      </c>
      <c r="J108" s="1076">
        <v>42000</v>
      </c>
      <c r="K108" s="1076">
        <v>42000</v>
      </c>
      <c r="L108" s="1076">
        <v>42000</v>
      </c>
      <c r="M108" s="1076">
        <v>42000</v>
      </c>
      <c r="N108" s="1076">
        <v>42000</v>
      </c>
      <c r="O108" s="1076">
        <v>42000</v>
      </c>
      <c r="P108" s="1076">
        <v>42000</v>
      </c>
      <c r="Q108" s="1051"/>
      <c r="S108"/>
      <c r="T108"/>
      <c r="U108"/>
      <c r="V108"/>
      <c r="W108"/>
      <c r="X108"/>
      <c r="Y108"/>
      <c r="Z108"/>
      <c r="AA108"/>
      <c r="AB108"/>
      <c r="AC108"/>
      <c r="AD108"/>
      <c r="AE108"/>
    </row>
    <row r="109" spans="2:32" ht="18" customHeight="1" outlineLevel="1" thickTop="1">
      <c r="B109" s="1140" t="s">
        <v>766</v>
      </c>
      <c r="C109" s="1074" t="s">
        <v>665</v>
      </c>
      <c r="D109" s="1080">
        <f>IFERROR(((D110-D104)/D104),"")</f>
        <v>0.34000171493013376</v>
      </c>
      <c r="E109" s="1077">
        <f>IFERROR(((E110-E104)/E104),"")</f>
        <v>0.38972847500776941</v>
      </c>
      <c r="F109" s="1077">
        <f t="shared" ref="F109:P109" si="66">IFERROR(((F110-F104)/F104),"")</f>
        <v>0.81618814199158607</v>
      </c>
      <c r="G109" s="1077">
        <f t="shared" si="66"/>
        <v>0.93736292882576222</v>
      </c>
      <c r="H109" s="1077">
        <f t="shared" si="66"/>
        <v>0.43528134996599066</v>
      </c>
      <c r="I109" s="1077">
        <f t="shared" si="66"/>
        <v>0.51040203732606271</v>
      </c>
      <c r="J109" s="1077">
        <f t="shared" si="66"/>
        <v>0.32891220370992491</v>
      </c>
      <c r="K109" s="1077">
        <f t="shared" si="66"/>
        <v>5.0853360166965657E-2</v>
      </c>
      <c r="L109" s="1077">
        <f t="shared" si="66"/>
        <v>3.9248296565779203E-2</v>
      </c>
      <c r="M109" s="1077">
        <f t="shared" si="66"/>
        <v>-9.1853331561534468E-2</v>
      </c>
      <c r="N109" s="1077">
        <f t="shared" si="66"/>
        <v>6.8132571318246807E-2</v>
      </c>
      <c r="O109" s="1077">
        <f t="shared" si="66"/>
        <v>0.10636386170945107</v>
      </c>
      <c r="P109" s="1077">
        <f t="shared" si="66"/>
        <v>0.47116210045252399</v>
      </c>
      <c r="Q109" s="1051"/>
      <c r="S109"/>
      <c r="T109"/>
      <c r="U109"/>
      <c r="V109"/>
      <c r="W109"/>
      <c r="X109"/>
      <c r="Y109"/>
      <c r="Z109"/>
      <c r="AA109"/>
      <c r="AB109"/>
      <c r="AC109"/>
      <c r="AD109"/>
      <c r="AE109"/>
    </row>
    <row r="110" spans="2:32" ht="18" customHeight="1" outlineLevel="1">
      <c r="B110" s="1140" t="s">
        <v>766</v>
      </c>
      <c r="C110" s="1082" t="s">
        <v>747</v>
      </c>
      <c r="D110" s="1081">
        <f>IF(AVERAGE(E110:P110)&gt;0,AVERAGE(E110:P110),"")</f>
        <v>27000</v>
      </c>
      <c r="E110" s="1076">
        <v>27000</v>
      </c>
      <c r="F110" s="1076">
        <v>27000</v>
      </c>
      <c r="G110" s="1076">
        <v>27000</v>
      </c>
      <c r="H110" s="1076">
        <v>27000</v>
      </c>
      <c r="I110" s="1076">
        <v>27000</v>
      </c>
      <c r="J110" s="1076">
        <v>27000</v>
      </c>
      <c r="K110" s="1076">
        <v>27000</v>
      </c>
      <c r="L110" s="1076">
        <v>27000</v>
      </c>
      <c r="M110" s="1076">
        <v>27000</v>
      </c>
      <c r="N110" s="1076">
        <v>27000</v>
      </c>
      <c r="O110" s="1076">
        <v>27000</v>
      </c>
      <c r="P110" s="1076">
        <v>27000</v>
      </c>
      <c r="Q110" s="1051"/>
      <c r="S110"/>
      <c r="T110"/>
      <c r="U110"/>
      <c r="V110"/>
      <c r="W110"/>
      <c r="X110"/>
      <c r="Y110"/>
      <c r="Z110"/>
      <c r="AA110"/>
      <c r="AB110"/>
      <c r="AC110"/>
      <c r="AD110"/>
      <c r="AE110"/>
    </row>
    <row r="111" spans="2:32" ht="18" customHeight="1" outlineLevel="1">
      <c r="B111" s="1140" t="s">
        <v>766</v>
      </c>
      <c r="C111" s="1075" t="s">
        <v>665</v>
      </c>
      <c r="D111" s="1083">
        <f>IFERROR(((D112-D104)/D104),"")</f>
        <v>1.1588916518318821</v>
      </c>
      <c r="E111" s="1078">
        <f>IFERROR(((E112-E104)/E104),"")</f>
        <v>1.2390069875125174</v>
      </c>
      <c r="F111" s="1078">
        <f t="shared" ref="F111:P111" si="67">IFERROR(((F112-F104)/F104),"")</f>
        <v>1.9260808954308886</v>
      </c>
      <c r="G111" s="1078">
        <f t="shared" si="67"/>
        <v>2.1213069408859502</v>
      </c>
      <c r="H111" s="1078">
        <f t="shared" si="67"/>
        <v>1.3123977305007628</v>
      </c>
      <c r="I111" s="1078">
        <f t="shared" si="67"/>
        <v>1.4334255045808788</v>
      </c>
      <c r="J111" s="1078">
        <f t="shared" si="67"/>
        <v>1.1410252170882123</v>
      </c>
      <c r="K111" s="1078">
        <f t="shared" si="67"/>
        <v>0.69304152471344471</v>
      </c>
      <c r="L111" s="1078">
        <f t="shared" si="67"/>
        <v>0.67434447780042206</v>
      </c>
      <c r="M111" s="1078">
        <f t="shared" si="67"/>
        <v>0.46312518803975</v>
      </c>
      <c r="N111" s="1078">
        <f t="shared" si="67"/>
        <v>0.72088025379050868</v>
      </c>
      <c r="O111" s="1078">
        <f t="shared" si="67"/>
        <v>0.78247511053189345</v>
      </c>
      <c r="P111" s="1078">
        <f t="shared" si="67"/>
        <v>1.370205606284622</v>
      </c>
      <c r="Q111" s="1051"/>
      <c r="S111"/>
      <c r="T111"/>
      <c r="U111"/>
      <c r="V111"/>
      <c r="W111"/>
      <c r="X111"/>
      <c r="Y111"/>
      <c r="Z111"/>
      <c r="AA111"/>
      <c r="AB111"/>
      <c r="AC111"/>
      <c r="AD111"/>
      <c r="AE111"/>
    </row>
    <row r="112" spans="2:32" ht="18" customHeight="1" outlineLevel="1">
      <c r="B112" s="1140" t="s">
        <v>766</v>
      </c>
      <c r="C112" s="1082" t="s">
        <v>735</v>
      </c>
      <c r="D112" s="1079">
        <f>IF(AVERAGE(E112:P112)&gt;0,AVERAGE(E112:P112),"")</f>
        <v>43500</v>
      </c>
      <c r="E112" s="1076">
        <v>43500</v>
      </c>
      <c r="F112" s="1076">
        <v>43500</v>
      </c>
      <c r="G112" s="1076">
        <v>43500</v>
      </c>
      <c r="H112" s="1076">
        <v>43500</v>
      </c>
      <c r="I112" s="1076">
        <v>43500</v>
      </c>
      <c r="J112" s="1076">
        <v>43500</v>
      </c>
      <c r="K112" s="1076">
        <v>43500</v>
      </c>
      <c r="L112" s="1076">
        <v>43500</v>
      </c>
      <c r="M112" s="1076">
        <v>43500</v>
      </c>
      <c r="N112" s="1076">
        <v>43500</v>
      </c>
      <c r="O112" s="1076">
        <v>43500</v>
      </c>
      <c r="P112" s="1076">
        <v>43500</v>
      </c>
      <c r="Q112" s="1051"/>
      <c r="S112"/>
      <c r="T112"/>
      <c r="U112"/>
      <c r="V112"/>
      <c r="W112"/>
      <c r="X112"/>
      <c r="Y112"/>
      <c r="Z112"/>
      <c r="AA112"/>
      <c r="AB112"/>
      <c r="AC112"/>
      <c r="AD112"/>
      <c r="AE112"/>
    </row>
    <row r="113" spans="2:32" ht="18" customHeight="1">
      <c r="S113"/>
      <c r="T113"/>
      <c r="U113"/>
      <c r="V113"/>
      <c r="W113"/>
      <c r="X113"/>
      <c r="Y113"/>
      <c r="Z113"/>
      <c r="AA113"/>
      <c r="AB113"/>
      <c r="AC113"/>
      <c r="AD113"/>
      <c r="AE113"/>
    </row>
    <row r="114" spans="2:32" ht="18" customHeight="1">
      <c r="B114" s="1141" t="s">
        <v>759</v>
      </c>
      <c r="C114" s="1031" t="s">
        <v>731</v>
      </c>
      <c r="D114" s="1032">
        <f>IFERROR(SUM(D115:D118),"")</f>
        <v>24200</v>
      </c>
      <c r="E114" s="1032">
        <f>SUM(E115:E118)</f>
        <v>2660</v>
      </c>
      <c r="F114" s="1032">
        <f>SUM(F115:F118)</f>
        <v>2200</v>
      </c>
      <c r="G114" s="1032">
        <f>SUM(G115:G118)</f>
        <v>3200</v>
      </c>
      <c r="H114" s="1032">
        <f>SUM(H115:H118)</f>
        <v>2600</v>
      </c>
      <c r="I114" s="1032">
        <f t="shared" ref="I114:P114" si="68">SUM(I115:I118)</f>
        <v>1940</v>
      </c>
      <c r="J114" s="1032">
        <f t="shared" si="68"/>
        <v>3400</v>
      </c>
      <c r="K114" s="1032">
        <f t="shared" si="68"/>
        <v>1200</v>
      </c>
      <c r="L114" s="1032">
        <f t="shared" si="68"/>
        <v>1600</v>
      </c>
      <c r="M114" s="1032">
        <f t="shared" si="68"/>
        <v>1600</v>
      </c>
      <c r="N114" s="1032">
        <f t="shared" si="68"/>
        <v>1400</v>
      </c>
      <c r="O114" s="1032">
        <f t="shared" si="68"/>
        <v>1800</v>
      </c>
      <c r="P114" s="1032">
        <f t="shared" si="68"/>
        <v>600</v>
      </c>
      <c r="S114"/>
      <c r="T114"/>
      <c r="U114"/>
      <c r="V114"/>
      <c r="W114"/>
      <c r="X114"/>
      <c r="Y114"/>
      <c r="Z114"/>
      <c r="AA114"/>
      <c r="AB114"/>
      <c r="AC114"/>
      <c r="AD114"/>
      <c r="AE114"/>
    </row>
    <row r="115" spans="2:32" s="790" customFormat="1" ht="18" customHeight="1" outlineLevel="1">
      <c r="B115" s="1141" t="s">
        <v>759</v>
      </c>
      <c r="C115" s="1084" t="s">
        <v>760</v>
      </c>
      <c r="D115" s="1062">
        <f t="shared" ref="D115:D117" si="69">IFERROR(SUM(E115:P115),"")</f>
        <v>6000</v>
      </c>
      <c r="E115" s="1062">
        <v>600</v>
      </c>
      <c r="F115" s="1062">
        <v>600</v>
      </c>
      <c r="G115" s="1062">
        <v>1000</v>
      </c>
      <c r="H115" s="1062">
        <v>800</v>
      </c>
      <c r="I115" s="1062"/>
      <c r="J115" s="1062">
        <v>400</v>
      </c>
      <c r="K115" s="1062">
        <v>400</v>
      </c>
      <c r="L115" s="1062">
        <v>800</v>
      </c>
      <c r="M115" s="1062"/>
      <c r="N115" s="1062">
        <v>600</v>
      </c>
      <c r="O115" s="1062">
        <v>800</v>
      </c>
      <c r="P115" s="1062"/>
      <c r="R115"/>
      <c r="S115"/>
      <c r="T115"/>
      <c r="U115"/>
      <c r="V115"/>
      <c r="W115"/>
      <c r="X115"/>
      <c r="Y115"/>
      <c r="Z115"/>
      <c r="AA115"/>
      <c r="AB115"/>
      <c r="AC115"/>
      <c r="AD115"/>
      <c r="AE115"/>
      <c r="AF115"/>
    </row>
    <row r="116" spans="2:32" s="790" customFormat="1" ht="18" customHeight="1" outlineLevel="1">
      <c r="B116" s="1141" t="s">
        <v>759</v>
      </c>
      <c r="C116" s="1063" t="s">
        <v>761</v>
      </c>
      <c r="D116" s="1064">
        <f t="shared" si="69"/>
        <v>14200</v>
      </c>
      <c r="E116" s="1064">
        <v>1000</v>
      </c>
      <c r="F116" s="1064">
        <v>1600</v>
      </c>
      <c r="G116" s="1064">
        <v>2200</v>
      </c>
      <c r="H116" s="1064">
        <v>1800</v>
      </c>
      <c r="I116" s="1064">
        <v>1000</v>
      </c>
      <c r="J116" s="1064">
        <v>2200</v>
      </c>
      <c r="K116" s="1064">
        <v>800</v>
      </c>
      <c r="L116" s="1064">
        <v>800</v>
      </c>
      <c r="M116" s="1064">
        <v>1000</v>
      </c>
      <c r="N116" s="1064">
        <v>800</v>
      </c>
      <c r="O116" s="1064">
        <v>1000</v>
      </c>
      <c r="P116" s="1064"/>
      <c r="R116"/>
      <c r="S116"/>
      <c r="T116"/>
      <c r="U116"/>
      <c r="V116"/>
      <c r="W116"/>
      <c r="X116"/>
      <c r="Y116"/>
      <c r="Z116"/>
      <c r="AA116"/>
      <c r="AB116"/>
      <c r="AC116"/>
      <c r="AD116"/>
      <c r="AE116"/>
      <c r="AF116"/>
    </row>
    <row r="117" spans="2:32" s="790" customFormat="1" ht="18" customHeight="1" outlineLevel="1">
      <c r="B117" s="1141" t="s">
        <v>759</v>
      </c>
      <c r="C117" s="1063" t="s">
        <v>762</v>
      </c>
      <c r="D117" s="1064">
        <f t="shared" si="69"/>
        <v>2000</v>
      </c>
      <c r="E117" s="1064"/>
      <c r="F117" s="1064"/>
      <c r="G117" s="1064"/>
      <c r="H117" s="1064"/>
      <c r="I117" s="1064"/>
      <c r="J117" s="1064">
        <v>800</v>
      </c>
      <c r="K117" s="1064"/>
      <c r="L117" s="1064"/>
      <c r="M117" s="1064">
        <v>600</v>
      </c>
      <c r="N117" s="1064"/>
      <c r="O117" s="1064"/>
      <c r="P117" s="1064">
        <v>600</v>
      </c>
      <c r="R117"/>
      <c r="S117"/>
      <c r="T117"/>
      <c r="U117"/>
      <c r="V117"/>
      <c r="W117"/>
      <c r="X117"/>
      <c r="Y117"/>
      <c r="Z117"/>
      <c r="AA117"/>
      <c r="AB117"/>
      <c r="AC117"/>
      <c r="AD117"/>
      <c r="AE117"/>
      <c r="AF117"/>
    </row>
    <row r="118" spans="2:32" s="790" customFormat="1" ht="18" customHeight="1" outlineLevel="1">
      <c r="B118" s="1141" t="s">
        <v>759</v>
      </c>
      <c r="C118" s="1085" t="s">
        <v>763</v>
      </c>
      <c r="D118" s="1064">
        <f>IFERROR(SUM(E118:P118),"")</f>
        <v>2000</v>
      </c>
      <c r="E118" s="1064">
        <v>1060</v>
      </c>
      <c r="F118" s="1064"/>
      <c r="G118" s="1064"/>
      <c r="H118" s="1064"/>
      <c r="I118" s="1064">
        <v>940</v>
      </c>
      <c r="J118" s="1064"/>
      <c r="K118" s="1064"/>
      <c r="L118" s="1064"/>
      <c r="M118" s="1064"/>
      <c r="N118" s="1064"/>
      <c r="O118" s="1064"/>
      <c r="P118" s="1064"/>
      <c r="R118"/>
      <c r="S118"/>
      <c r="T118"/>
      <c r="U118"/>
      <c r="V118"/>
      <c r="W118"/>
      <c r="X118"/>
      <c r="Y118"/>
      <c r="Z118"/>
      <c r="AA118"/>
      <c r="AB118"/>
      <c r="AC118"/>
      <c r="AD118"/>
      <c r="AE118"/>
      <c r="AF118"/>
    </row>
    <row r="119" spans="2:32" ht="18" customHeight="1">
      <c r="B119" s="1141" t="s">
        <v>759</v>
      </c>
      <c r="C119" s="1033" t="s">
        <v>732</v>
      </c>
      <c r="D119" s="1034">
        <f>IFERROR((D120+D121+D122+D123+D124+D125+D127),"")</f>
        <v>22340</v>
      </c>
      <c r="E119" s="1091">
        <f>SUM(E120:E128)</f>
        <v>1300</v>
      </c>
      <c r="F119" s="1091">
        <f t="shared" ref="F119:O119" si="70">SUM(F120:F128)</f>
        <v>2000</v>
      </c>
      <c r="G119" s="1091">
        <f t="shared" si="70"/>
        <v>2180</v>
      </c>
      <c r="H119" s="1091">
        <f t="shared" si="70"/>
        <v>2140</v>
      </c>
      <c r="I119" s="1091">
        <f t="shared" si="70"/>
        <v>1940</v>
      </c>
      <c r="J119" s="1091">
        <f t="shared" si="70"/>
        <v>3420</v>
      </c>
      <c r="K119" s="1091">
        <f t="shared" si="70"/>
        <v>2200</v>
      </c>
      <c r="L119" s="1091">
        <f t="shared" si="70"/>
        <v>1520</v>
      </c>
      <c r="M119" s="1091">
        <f t="shared" si="70"/>
        <v>1520</v>
      </c>
      <c r="N119" s="1091">
        <f t="shared" si="70"/>
        <v>1260</v>
      </c>
      <c r="O119" s="1091">
        <f t="shared" si="70"/>
        <v>1100</v>
      </c>
      <c r="P119" s="1091">
        <f>SUM(P120:P125)</f>
        <v>1760</v>
      </c>
      <c r="Q119" s="1122"/>
      <c r="S119"/>
      <c r="T119"/>
      <c r="U119"/>
      <c r="V119"/>
      <c r="W119"/>
      <c r="X119"/>
      <c r="Y119"/>
      <c r="Z119"/>
      <c r="AA119"/>
      <c r="AB119"/>
      <c r="AC119"/>
      <c r="AD119"/>
      <c r="AE119"/>
    </row>
    <row r="120" spans="2:32" ht="18" customHeight="1" outlineLevel="1">
      <c r="B120" s="1141" t="s">
        <v>759</v>
      </c>
      <c r="C120" s="1084" t="s">
        <v>776</v>
      </c>
      <c r="D120" s="674">
        <f t="shared" ref="D120:D121" si="71">IFERROR(SUM(E120:P120),"")</f>
        <v>220</v>
      </c>
      <c r="E120" s="82"/>
      <c r="F120" s="82"/>
      <c r="G120" s="82"/>
      <c r="H120" s="82"/>
      <c r="I120" s="82"/>
      <c r="J120" s="82"/>
      <c r="K120" s="82"/>
      <c r="L120" s="82">
        <v>120</v>
      </c>
      <c r="M120" s="82"/>
      <c r="N120" s="82"/>
      <c r="O120" s="82">
        <v>100</v>
      </c>
      <c r="P120" s="82"/>
      <c r="Q120" s="1121">
        <f>(D120+D121)/SUM(D120:D129)</f>
        <v>0.24396782841823056</v>
      </c>
      <c r="S120"/>
      <c r="T120"/>
      <c r="U120"/>
      <c r="V120"/>
      <c r="W120"/>
      <c r="X120"/>
      <c r="Y120"/>
      <c r="Z120"/>
      <c r="AA120"/>
      <c r="AB120"/>
      <c r="AC120"/>
      <c r="AD120"/>
      <c r="AE120"/>
    </row>
    <row r="121" spans="2:32" ht="18" customHeight="1" outlineLevel="1">
      <c r="B121" s="1141" t="s">
        <v>759</v>
      </c>
      <c r="C121" s="1063" t="s">
        <v>777</v>
      </c>
      <c r="D121" s="674">
        <f t="shared" si="71"/>
        <v>5240</v>
      </c>
      <c r="E121" s="82">
        <f>300</f>
        <v>300</v>
      </c>
      <c r="F121" s="82">
        <f>400</f>
        <v>400</v>
      </c>
      <c r="G121" s="82">
        <v>780</v>
      </c>
      <c r="H121" s="82">
        <f>660</f>
        <v>660</v>
      </c>
      <c r="I121" s="82">
        <v>520</v>
      </c>
      <c r="J121" s="82">
        <v>380</v>
      </c>
      <c r="K121" s="82">
        <v>520</v>
      </c>
      <c r="L121" s="82">
        <v>180</v>
      </c>
      <c r="M121" s="82">
        <v>280</v>
      </c>
      <c r="N121" s="82">
        <v>620</v>
      </c>
      <c r="O121" s="82">
        <v>180</v>
      </c>
      <c r="P121" s="82">
        <v>420</v>
      </c>
      <c r="Q121" s="1122"/>
      <c r="S121"/>
      <c r="T121"/>
      <c r="U121"/>
      <c r="V121"/>
      <c r="W121"/>
      <c r="X121"/>
      <c r="Y121"/>
      <c r="Z121"/>
      <c r="AA121"/>
      <c r="AB121"/>
      <c r="AC121"/>
      <c r="AD121"/>
      <c r="AE121"/>
    </row>
    <row r="122" spans="2:32" ht="18" customHeight="1" outlineLevel="1">
      <c r="B122" s="1141" t="s">
        <v>759</v>
      </c>
      <c r="C122" s="1063" t="s">
        <v>778</v>
      </c>
      <c r="D122" s="1119">
        <f t="shared" ref="D122:D128" si="72">IFERROR(SUM(E122:P122),"")</f>
        <v>220</v>
      </c>
      <c r="E122" s="82"/>
      <c r="F122" s="82"/>
      <c r="G122" s="82"/>
      <c r="H122" s="82"/>
      <c r="I122" s="82"/>
      <c r="J122" s="82"/>
      <c r="K122" s="82"/>
      <c r="L122" s="82">
        <v>120</v>
      </c>
      <c r="M122" s="82"/>
      <c r="N122" s="82"/>
      <c r="O122" s="82">
        <v>100</v>
      </c>
      <c r="P122" s="82"/>
      <c r="Q122" s="1121">
        <f>(D122+D123)/SUM(D120:D129)</f>
        <v>0.62466487935656834</v>
      </c>
      <c r="S122"/>
      <c r="T122"/>
      <c r="U122"/>
      <c r="V122"/>
      <c r="W122"/>
      <c r="X122"/>
      <c r="Y122"/>
      <c r="Z122"/>
      <c r="AA122"/>
      <c r="AB122"/>
      <c r="AC122"/>
      <c r="AD122"/>
      <c r="AE122"/>
    </row>
    <row r="123" spans="2:32" ht="18" customHeight="1" outlineLevel="1">
      <c r="B123" s="1141" t="s">
        <v>759</v>
      </c>
      <c r="C123" s="1063" t="s">
        <v>779</v>
      </c>
      <c r="D123" s="1119">
        <f t="shared" si="72"/>
        <v>13760</v>
      </c>
      <c r="E123" s="82">
        <v>1000</v>
      </c>
      <c r="F123" s="82">
        <v>1600</v>
      </c>
      <c r="G123" s="82">
        <v>1400</v>
      </c>
      <c r="H123" s="82">
        <v>1480</v>
      </c>
      <c r="I123" s="82">
        <v>1420</v>
      </c>
      <c r="J123" s="82">
        <v>1340</v>
      </c>
      <c r="K123" s="82">
        <v>1200</v>
      </c>
      <c r="L123" s="82">
        <v>980</v>
      </c>
      <c r="M123" s="82">
        <v>1240</v>
      </c>
      <c r="N123" s="82">
        <v>640</v>
      </c>
      <c r="O123" s="82">
        <v>400</v>
      </c>
      <c r="P123" s="82">
        <v>1060</v>
      </c>
      <c r="Q123" s="1122"/>
      <c r="S123"/>
      <c r="T123"/>
      <c r="U123"/>
      <c r="V123"/>
      <c r="W123"/>
      <c r="X123"/>
      <c r="Y123"/>
      <c r="Z123"/>
      <c r="AA123"/>
      <c r="AB123"/>
      <c r="AC123"/>
      <c r="AD123"/>
      <c r="AE123"/>
    </row>
    <row r="124" spans="2:32" ht="18" customHeight="1" outlineLevel="1">
      <c r="B124" s="1141" t="s">
        <v>759</v>
      </c>
      <c r="C124" s="1063" t="s">
        <v>780</v>
      </c>
      <c r="D124" s="1119">
        <f t="shared" si="72"/>
        <v>220</v>
      </c>
      <c r="E124" s="82"/>
      <c r="F124" s="82"/>
      <c r="G124" s="82"/>
      <c r="H124" s="82"/>
      <c r="I124" s="82"/>
      <c r="J124" s="82"/>
      <c r="K124" s="82"/>
      <c r="L124" s="82">
        <v>120</v>
      </c>
      <c r="M124" s="82"/>
      <c r="N124" s="82"/>
      <c r="O124" s="82">
        <v>100</v>
      </c>
      <c r="P124" s="82"/>
      <c r="Q124" s="1121">
        <f>(D124+D125+D126)/SUM(D120:D129)</f>
        <v>6.3449508489722972E-2</v>
      </c>
      <c r="S124"/>
      <c r="T124"/>
      <c r="U124"/>
      <c r="V124"/>
      <c r="W124"/>
      <c r="X124"/>
      <c r="Y124"/>
      <c r="Z124"/>
      <c r="AA124"/>
      <c r="AB124"/>
      <c r="AC124"/>
      <c r="AD124"/>
      <c r="AE124"/>
    </row>
    <row r="125" spans="2:32" ht="18" customHeight="1" outlineLevel="1">
      <c r="B125" s="1141" t="s">
        <v>759</v>
      </c>
      <c r="C125" s="1063" t="s">
        <v>781</v>
      </c>
      <c r="D125" s="1119">
        <f t="shared" si="72"/>
        <v>1180</v>
      </c>
      <c r="E125" s="82"/>
      <c r="F125" s="82"/>
      <c r="G125" s="82"/>
      <c r="H125" s="82"/>
      <c r="I125" s="82"/>
      <c r="J125" s="82">
        <v>200</v>
      </c>
      <c r="K125" s="82">
        <v>480</v>
      </c>
      <c r="L125" s="82"/>
      <c r="M125" s="82"/>
      <c r="N125" s="82"/>
      <c r="O125" s="82">
        <v>220</v>
      </c>
      <c r="P125" s="82">
        <v>280</v>
      </c>
      <c r="Q125" s="1122"/>
      <c r="S125"/>
      <c r="T125"/>
      <c r="U125"/>
      <c r="V125"/>
      <c r="W125"/>
      <c r="X125"/>
      <c r="Y125"/>
      <c r="Z125"/>
      <c r="AA125"/>
      <c r="AB125"/>
      <c r="AC125"/>
      <c r="AD125"/>
      <c r="AE125"/>
    </row>
    <row r="126" spans="2:32" ht="18" customHeight="1" outlineLevel="1">
      <c r="B126" s="1141" t="s">
        <v>759</v>
      </c>
      <c r="C126" s="1063" t="s">
        <v>782</v>
      </c>
      <c r="D126" s="1119">
        <f t="shared" ref="D126" si="73">IFERROR(SUM(E126:P126),"")</f>
        <v>20</v>
      </c>
      <c r="E126" s="82"/>
      <c r="F126" s="82"/>
      <c r="G126" s="82"/>
      <c r="H126" s="82"/>
      <c r="I126" s="82"/>
      <c r="J126" s="82"/>
      <c r="K126" s="82"/>
      <c r="L126" s="82"/>
      <c r="M126" s="82"/>
      <c r="N126" s="82"/>
      <c r="O126" s="82"/>
      <c r="P126" s="82">
        <v>20</v>
      </c>
      <c r="Q126" s="1122"/>
      <c r="S126"/>
      <c r="T126"/>
      <c r="U126"/>
      <c r="V126"/>
      <c r="W126"/>
      <c r="X126"/>
      <c r="Y126"/>
      <c r="Z126"/>
      <c r="AA126"/>
      <c r="AB126"/>
      <c r="AC126"/>
      <c r="AD126"/>
      <c r="AE126"/>
    </row>
    <row r="127" spans="2:32" ht="18" customHeight="1" outlineLevel="1">
      <c r="B127" s="1141" t="s">
        <v>759</v>
      </c>
      <c r="C127" s="1063" t="s">
        <v>783</v>
      </c>
      <c r="D127" s="674">
        <f t="shared" si="72"/>
        <v>1500</v>
      </c>
      <c r="E127" s="82"/>
      <c r="F127" s="82"/>
      <c r="G127" s="82"/>
      <c r="H127" s="82"/>
      <c r="I127" s="82"/>
      <c r="J127" s="82">
        <v>1500</v>
      </c>
      <c r="K127" s="82"/>
      <c r="L127" s="82"/>
      <c r="M127" s="82"/>
      <c r="N127" s="82"/>
      <c r="O127" s="82"/>
      <c r="P127" s="82"/>
      <c r="Q127" s="1121">
        <f>(D127+D128+D129)/SUM(D120:D129)</f>
        <v>6.7917783735478104E-2</v>
      </c>
      <c r="S127"/>
      <c r="T127"/>
      <c r="U127"/>
      <c r="V127"/>
      <c r="W127"/>
      <c r="X127"/>
      <c r="Y127"/>
      <c r="Z127"/>
      <c r="AA127"/>
      <c r="AB127"/>
      <c r="AC127"/>
      <c r="AD127"/>
      <c r="AE127"/>
    </row>
    <row r="128" spans="2:32" ht="18" customHeight="1" outlineLevel="1">
      <c r="B128" s="1141" t="s">
        <v>759</v>
      </c>
      <c r="C128" s="1063" t="s">
        <v>784</v>
      </c>
      <c r="D128" s="674">
        <f t="shared" si="72"/>
        <v>0</v>
      </c>
      <c r="E128" s="82"/>
      <c r="F128" s="82"/>
      <c r="G128" s="82"/>
      <c r="H128" s="82"/>
      <c r="I128" s="82"/>
      <c r="J128" s="82"/>
      <c r="K128" s="82"/>
      <c r="L128" s="82"/>
      <c r="M128" s="82"/>
      <c r="N128" s="82"/>
      <c r="O128" s="82"/>
      <c r="P128" s="82"/>
      <c r="S128"/>
      <c r="T128"/>
      <c r="U128"/>
      <c r="V128"/>
      <c r="W128"/>
      <c r="X128"/>
      <c r="Y128"/>
      <c r="Z128"/>
      <c r="AA128"/>
      <c r="AB128"/>
      <c r="AC128"/>
      <c r="AD128"/>
      <c r="AE128"/>
    </row>
    <row r="129" spans="2:31" ht="18" customHeight="1" outlineLevel="1">
      <c r="B129" s="1141" t="s">
        <v>759</v>
      </c>
      <c r="C129" s="1063" t="s">
        <v>785</v>
      </c>
      <c r="D129" s="674">
        <f t="shared" ref="D129" si="74">IFERROR(SUM(E129:P129),"")</f>
        <v>20</v>
      </c>
      <c r="E129" s="82"/>
      <c r="F129" s="82"/>
      <c r="G129" s="82"/>
      <c r="H129" s="82"/>
      <c r="I129" s="82"/>
      <c r="J129" s="82"/>
      <c r="K129" s="82"/>
      <c r="L129" s="82"/>
      <c r="M129" s="82"/>
      <c r="N129" s="82"/>
      <c r="O129" s="82"/>
      <c r="P129" s="82">
        <v>20</v>
      </c>
      <c r="S129"/>
      <c r="T129"/>
      <c r="U129"/>
      <c r="V129"/>
      <c r="W129"/>
      <c r="X129"/>
      <c r="Y129"/>
      <c r="Z129"/>
      <c r="AA129"/>
      <c r="AB129"/>
      <c r="AC129"/>
      <c r="AD129"/>
      <c r="AE129"/>
    </row>
    <row r="130" spans="2:31" ht="18" customHeight="1" outlineLevel="1">
      <c r="B130" s="1141" t="s">
        <v>759</v>
      </c>
      <c r="C130" s="1086" t="s">
        <v>786</v>
      </c>
      <c r="D130" s="480">
        <f t="shared" ref="D130:D135" si="75">IFERROR(AVERAGE(E130:P130),"")</f>
        <v>350</v>
      </c>
      <c r="E130" s="480">
        <v>350</v>
      </c>
      <c r="F130" s="480">
        <v>350</v>
      </c>
      <c r="G130" s="480">
        <v>350</v>
      </c>
      <c r="H130" s="480">
        <v>350</v>
      </c>
      <c r="I130" s="480">
        <v>350</v>
      </c>
      <c r="J130" s="480">
        <v>350</v>
      </c>
      <c r="K130" s="480">
        <v>350</v>
      </c>
      <c r="L130" s="480">
        <v>350</v>
      </c>
      <c r="M130" s="480">
        <v>350</v>
      </c>
      <c r="N130" s="480">
        <v>350</v>
      </c>
      <c r="O130" s="480">
        <v>350</v>
      </c>
      <c r="P130" s="480">
        <v>350</v>
      </c>
      <c r="S130"/>
      <c r="T130"/>
      <c r="U130"/>
      <c r="V130"/>
      <c r="W130"/>
      <c r="X130"/>
      <c r="Y130"/>
      <c r="Z130"/>
      <c r="AA130"/>
      <c r="AB130"/>
      <c r="AC130"/>
      <c r="AD130"/>
      <c r="AE130"/>
    </row>
    <row r="131" spans="2:31" ht="18" customHeight="1" outlineLevel="1">
      <c r="B131" s="1141" t="s">
        <v>759</v>
      </c>
      <c r="C131" s="1086" t="s">
        <v>787</v>
      </c>
      <c r="D131" s="480">
        <f t="shared" si="75"/>
        <v>240</v>
      </c>
      <c r="E131" s="480">
        <v>240</v>
      </c>
      <c r="F131" s="480">
        <v>240</v>
      </c>
      <c r="G131" s="480">
        <v>240</v>
      </c>
      <c r="H131" s="480">
        <v>240</v>
      </c>
      <c r="I131" s="480">
        <v>240</v>
      </c>
      <c r="J131" s="480">
        <v>240</v>
      </c>
      <c r="K131" s="480">
        <v>240</v>
      </c>
      <c r="L131" s="480">
        <v>240</v>
      </c>
      <c r="M131" s="480">
        <v>240</v>
      </c>
      <c r="N131" s="480">
        <v>240</v>
      </c>
      <c r="O131" s="480">
        <v>240</v>
      </c>
      <c r="P131" s="480">
        <v>240</v>
      </c>
      <c r="S131"/>
      <c r="T131"/>
      <c r="U131"/>
      <c r="V131"/>
      <c r="W131"/>
      <c r="X131"/>
      <c r="Y131"/>
      <c r="Z131"/>
      <c r="AA131"/>
      <c r="AB131"/>
      <c r="AC131"/>
      <c r="AD131"/>
      <c r="AE131"/>
    </row>
    <row r="132" spans="2:31" ht="18" customHeight="1" outlineLevel="1">
      <c r="B132" s="1141" t="s">
        <v>759</v>
      </c>
      <c r="C132" s="158" t="s">
        <v>788</v>
      </c>
      <c r="D132" s="480">
        <f t="shared" si="75"/>
        <v>350</v>
      </c>
      <c r="E132" s="480">
        <v>350</v>
      </c>
      <c r="F132" s="480">
        <v>350</v>
      </c>
      <c r="G132" s="480">
        <v>350</v>
      </c>
      <c r="H132" s="480">
        <v>350</v>
      </c>
      <c r="I132" s="480">
        <v>350</v>
      </c>
      <c r="J132" s="480">
        <v>350</v>
      </c>
      <c r="K132" s="480">
        <v>350</v>
      </c>
      <c r="L132" s="480">
        <v>350</v>
      </c>
      <c r="M132" s="480">
        <v>350</v>
      </c>
      <c r="N132" s="480">
        <v>350</v>
      </c>
      <c r="O132" s="480">
        <v>350</v>
      </c>
      <c r="P132" s="480">
        <v>350</v>
      </c>
      <c r="S132"/>
      <c r="T132"/>
      <c r="U132"/>
      <c r="V132"/>
      <c r="W132"/>
      <c r="X132"/>
      <c r="Y132"/>
      <c r="Z132"/>
      <c r="AA132"/>
      <c r="AB132"/>
      <c r="AC132"/>
      <c r="AD132"/>
      <c r="AE132"/>
    </row>
    <row r="133" spans="2:31" ht="18" customHeight="1" outlineLevel="1">
      <c r="B133" s="1141" t="s">
        <v>759</v>
      </c>
      <c r="C133" s="158" t="s">
        <v>789</v>
      </c>
      <c r="D133" s="480">
        <f t="shared" si="75"/>
        <v>299</v>
      </c>
      <c r="E133" s="480">
        <v>299</v>
      </c>
      <c r="F133" s="480">
        <v>299</v>
      </c>
      <c r="G133" s="480">
        <v>299</v>
      </c>
      <c r="H133" s="480">
        <v>299</v>
      </c>
      <c r="I133" s="480">
        <v>299</v>
      </c>
      <c r="J133" s="480">
        <v>299</v>
      </c>
      <c r="K133" s="480">
        <v>299</v>
      </c>
      <c r="L133" s="480">
        <v>299</v>
      </c>
      <c r="M133" s="480">
        <v>299</v>
      </c>
      <c r="N133" s="480">
        <v>299</v>
      </c>
      <c r="O133" s="480">
        <v>299</v>
      </c>
      <c r="P133" s="480">
        <v>299</v>
      </c>
      <c r="S133"/>
      <c r="T133"/>
      <c r="U133"/>
      <c r="V133"/>
      <c r="W133"/>
      <c r="X133"/>
      <c r="Y133"/>
      <c r="Z133"/>
      <c r="AA133"/>
      <c r="AB133"/>
      <c r="AC133"/>
      <c r="AD133"/>
      <c r="AE133"/>
    </row>
    <row r="134" spans="2:31" ht="18" customHeight="1" outlineLevel="1">
      <c r="B134" s="1141" t="s">
        <v>759</v>
      </c>
      <c r="C134" s="158" t="s">
        <v>790</v>
      </c>
      <c r="D134" s="480">
        <f t="shared" si="75"/>
        <v>145</v>
      </c>
      <c r="E134" s="480">
        <v>145</v>
      </c>
      <c r="F134" s="480">
        <v>145</v>
      </c>
      <c r="G134" s="480">
        <v>145</v>
      </c>
      <c r="H134" s="480">
        <v>145</v>
      </c>
      <c r="I134" s="480">
        <v>145</v>
      </c>
      <c r="J134" s="480">
        <v>145</v>
      </c>
      <c r="K134" s="480">
        <v>145</v>
      </c>
      <c r="L134" s="480">
        <v>145</v>
      </c>
      <c r="M134" s="480">
        <v>145</v>
      </c>
      <c r="N134" s="480">
        <v>145</v>
      </c>
      <c r="O134" s="480">
        <v>145</v>
      </c>
      <c r="P134" s="480">
        <v>145</v>
      </c>
      <c r="S134"/>
      <c r="T134"/>
      <c r="U134"/>
      <c r="V134"/>
      <c r="W134"/>
      <c r="X134"/>
      <c r="Y134"/>
      <c r="Z134"/>
      <c r="AA134"/>
      <c r="AB134"/>
      <c r="AC134"/>
      <c r="AD134"/>
      <c r="AE134"/>
    </row>
    <row r="135" spans="2:31" ht="18" customHeight="1" outlineLevel="1">
      <c r="B135" s="1141" t="s">
        <v>759</v>
      </c>
      <c r="C135" s="158" t="s">
        <v>791</v>
      </c>
      <c r="D135" s="480">
        <f t="shared" si="75"/>
        <v>110</v>
      </c>
      <c r="E135" s="480">
        <v>110</v>
      </c>
      <c r="F135" s="480">
        <v>110</v>
      </c>
      <c r="G135" s="480">
        <v>110</v>
      </c>
      <c r="H135" s="480">
        <v>110</v>
      </c>
      <c r="I135" s="480">
        <v>110</v>
      </c>
      <c r="J135" s="480">
        <v>110</v>
      </c>
      <c r="K135" s="480">
        <v>110</v>
      </c>
      <c r="L135" s="480">
        <v>110</v>
      </c>
      <c r="M135" s="480">
        <v>110</v>
      </c>
      <c r="N135" s="480">
        <v>110</v>
      </c>
      <c r="O135" s="480">
        <v>110</v>
      </c>
      <c r="P135" s="480">
        <v>110</v>
      </c>
      <c r="S135"/>
      <c r="T135"/>
      <c r="U135"/>
      <c r="V135"/>
      <c r="W135"/>
      <c r="X135"/>
      <c r="Y135"/>
      <c r="Z135"/>
      <c r="AA135"/>
      <c r="AB135"/>
      <c r="AC135"/>
      <c r="AD135"/>
      <c r="AE135"/>
    </row>
    <row r="136" spans="2:31" ht="18" customHeight="1" outlineLevel="1">
      <c r="B136" s="1141" t="s">
        <v>759</v>
      </c>
      <c r="C136" s="158" t="s">
        <v>792</v>
      </c>
      <c r="D136" s="480">
        <f>IFERROR(AVERAGE(E136:P136),"")</f>
        <v>24.056603773584907</v>
      </c>
      <c r="E136" s="1090">
        <v>24.056603773584907</v>
      </c>
      <c r="F136" s="1090">
        <v>24.056603773584907</v>
      </c>
      <c r="G136" s="1090">
        <v>24.056603773584907</v>
      </c>
      <c r="H136" s="1090">
        <v>24.056603773584907</v>
      </c>
      <c r="I136" s="1090">
        <v>24.056603773584907</v>
      </c>
      <c r="J136" s="1090">
        <v>24.056603773584907</v>
      </c>
      <c r="K136" s="1090">
        <v>24.056603773584907</v>
      </c>
      <c r="L136" s="1090">
        <v>24.056603773584907</v>
      </c>
      <c r="M136" s="1090">
        <v>24.056603773584907</v>
      </c>
      <c r="N136" s="1090">
        <v>24.056603773584907</v>
      </c>
      <c r="O136" s="1090">
        <v>24.056603773584907</v>
      </c>
      <c r="P136" s="1090">
        <v>24.056603773584907</v>
      </c>
      <c r="S136"/>
      <c r="T136"/>
      <c r="U136"/>
      <c r="V136"/>
      <c r="W136"/>
      <c r="X136"/>
      <c r="Y136"/>
      <c r="Z136"/>
      <c r="AA136"/>
      <c r="AB136"/>
      <c r="AC136"/>
      <c r="AD136"/>
      <c r="AE136"/>
    </row>
    <row r="137" spans="2:31" ht="18" customHeight="1" outlineLevel="1">
      <c r="B137" s="1141" t="s">
        <v>759</v>
      </c>
      <c r="C137" s="158" t="s">
        <v>793</v>
      </c>
      <c r="D137" s="480">
        <f>IFERROR(AVERAGE(E137:P137),"")</f>
        <v>18.329999999999995</v>
      </c>
      <c r="E137" s="1090">
        <v>18.329999999999998</v>
      </c>
      <c r="F137" s="1090">
        <v>18.329999999999998</v>
      </c>
      <c r="G137" s="1090">
        <v>18.329999999999998</v>
      </c>
      <c r="H137" s="1090">
        <v>18.329999999999998</v>
      </c>
      <c r="I137" s="1090">
        <v>18.329999999999998</v>
      </c>
      <c r="J137" s="1090">
        <v>18.329999999999998</v>
      </c>
      <c r="K137" s="1090">
        <v>18.329999999999998</v>
      </c>
      <c r="L137" s="1090">
        <v>18.329999999999998</v>
      </c>
      <c r="M137" s="1090">
        <v>18.329999999999998</v>
      </c>
      <c r="N137" s="1090">
        <v>18.329999999999998</v>
      </c>
      <c r="O137" s="1090">
        <v>18.329999999999998</v>
      </c>
      <c r="P137" s="1090">
        <v>18.329999999999998</v>
      </c>
      <c r="S137"/>
      <c r="T137"/>
      <c r="U137"/>
      <c r="V137"/>
      <c r="W137"/>
      <c r="X137"/>
      <c r="Y137"/>
      <c r="Z137"/>
      <c r="AA137"/>
      <c r="AB137"/>
      <c r="AC137"/>
      <c r="AD137"/>
      <c r="AE137"/>
    </row>
    <row r="138" spans="2:31" ht="18" customHeight="1">
      <c r="B138" s="1141" t="s">
        <v>759</v>
      </c>
      <c r="C138" s="1033" t="s">
        <v>736</v>
      </c>
      <c r="D138" s="1039">
        <f>IFERROR(SUM(E138:P138),"")</f>
        <v>5723624.9056603778</v>
      </c>
      <c r="E138" s="1039">
        <f t="shared" ref="E138:P138" si="76">SUM(E139:E140)</f>
        <v>371000</v>
      </c>
      <c r="F138" s="1039">
        <f t="shared" si="76"/>
        <v>574400</v>
      </c>
      <c r="G138" s="1039">
        <f t="shared" si="76"/>
        <v>605800</v>
      </c>
      <c r="H138" s="1039">
        <f t="shared" si="76"/>
        <v>600920</v>
      </c>
      <c r="I138" s="1039">
        <f t="shared" si="76"/>
        <v>549380</v>
      </c>
      <c r="J138" s="1039">
        <f t="shared" si="76"/>
        <v>549944.90566037735</v>
      </c>
      <c r="K138" s="1039">
        <f t="shared" si="76"/>
        <v>536400</v>
      </c>
      <c r="L138" s="1039">
        <f t="shared" si="76"/>
        <v>437620</v>
      </c>
      <c r="M138" s="1039">
        <f t="shared" si="76"/>
        <v>437960</v>
      </c>
      <c r="N138" s="1039">
        <f t="shared" si="76"/>
        <v>340160</v>
      </c>
      <c r="O138" s="1039">
        <f t="shared" si="76"/>
        <v>271500</v>
      </c>
      <c r="P138" s="1039">
        <f t="shared" si="76"/>
        <v>448540</v>
      </c>
      <c r="S138"/>
      <c r="T138"/>
      <c r="U138"/>
      <c r="V138"/>
      <c r="W138"/>
      <c r="X138"/>
      <c r="Y138"/>
      <c r="Z138"/>
      <c r="AA138"/>
      <c r="AB138"/>
      <c r="AC138"/>
      <c r="AD138"/>
      <c r="AE138"/>
    </row>
    <row r="139" spans="2:31" ht="18" customHeight="1" outlineLevel="1">
      <c r="B139" s="1141" t="s">
        <v>759</v>
      </c>
      <c r="C139" s="158" t="s">
        <v>733</v>
      </c>
      <c r="D139" s="1037">
        <f t="shared" ref="D139:D147" si="77">IF(SUM(E139:P139)&gt;0,SUM(E139:P139),"")</f>
        <v>221984.90566037735</v>
      </c>
      <c r="E139" s="1037">
        <f>(E120*E130+E122*E132+E124*E134+E127*E136)</f>
        <v>0</v>
      </c>
      <c r="F139" s="1037">
        <f t="shared" ref="F139:P140" si="78">(F120*F130+F122*F132+F124*F134+F127*F136)</f>
        <v>0</v>
      </c>
      <c r="G139" s="1037">
        <f t="shared" si="78"/>
        <v>0</v>
      </c>
      <c r="H139" s="1037">
        <f t="shared" si="78"/>
        <v>0</v>
      </c>
      <c r="I139" s="1037">
        <f t="shared" si="78"/>
        <v>0</v>
      </c>
      <c r="J139" s="1037">
        <f t="shared" si="78"/>
        <v>36084.905660377364</v>
      </c>
      <c r="K139" s="1037">
        <f t="shared" si="78"/>
        <v>0</v>
      </c>
      <c r="L139" s="1037">
        <f t="shared" si="78"/>
        <v>101400</v>
      </c>
      <c r="M139" s="1037">
        <f t="shared" si="78"/>
        <v>0</v>
      </c>
      <c r="N139" s="1037">
        <f t="shared" si="78"/>
        <v>0</v>
      </c>
      <c r="O139" s="1037">
        <f t="shared" si="78"/>
        <v>84500</v>
      </c>
      <c r="P139" s="1037">
        <f t="shared" si="78"/>
        <v>0</v>
      </c>
      <c r="S139"/>
      <c r="T139"/>
      <c r="U139"/>
      <c r="V139"/>
      <c r="W139"/>
      <c r="X139"/>
      <c r="Y139"/>
      <c r="Z139"/>
      <c r="AA139"/>
      <c r="AB139"/>
      <c r="AC139"/>
      <c r="AD139"/>
      <c r="AE139"/>
    </row>
    <row r="140" spans="2:31" ht="18" customHeight="1" outlineLevel="1">
      <c r="B140" s="1141" t="s">
        <v>759</v>
      </c>
      <c r="C140" s="158" t="s">
        <v>737</v>
      </c>
      <c r="D140" s="1037">
        <f t="shared" si="77"/>
        <v>5501640</v>
      </c>
      <c r="E140" s="1037">
        <f>(E121*E131+E123*E133+E125*E135+E128*E137)</f>
        <v>371000</v>
      </c>
      <c r="F140" s="1037">
        <f>(F121*F131+F123*F133+F125*F135+F128*F137)</f>
        <v>574400</v>
      </c>
      <c r="G140" s="1037">
        <f>(G121*G131+G123*G133+G125*G135+G128*G137)</f>
        <v>605800</v>
      </c>
      <c r="H140" s="1037">
        <f t="shared" si="78"/>
        <v>600920</v>
      </c>
      <c r="I140" s="1037">
        <f t="shared" si="78"/>
        <v>549380</v>
      </c>
      <c r="J140" s="1037">
        <f t="shared" si="78"/>
        <v>513860</v>
      </c>
      <c r="K140" s="1037">
        <f t="shared" si="78"/>
        <v>536400</v>
      </c>
      <c r="L140" s="1037">
        <f t="shared" si="78"/>
        <v>336220</v>
      </c>
      <c r="M140" s="1037">
        <f t="shared" si="78"/>
        <v>437960</v>
      </c>
      <c r="N140" s="1037">
        <f t="shared" si="78"/>
        <v>340160</v>
      </c>
      <c r="O140" s="1037">
        <f t="shared" si="78"/>
        <v>187000</v>
      </c>
      <c r="P140" s="1037">
        <f t="shared" si="78"/>
        <v>448540</v>
      </c>
      <c r="S140"/>
      <c r="T140"/>
      <c r="U140"/>
      <c r="V140"/>
      <c r="W140"/>
      <c r="X140"/>
      <c r="Y140"/>
      <c r="Z140"/>
      <c r="AA140"/>
      <c r="AB140"/>
      <c r="AC140"/>
      <c r="AD140"/>
      <c r="AE140"/>
    </row>
    <row r="141" spans="2:31" ht="18" customHeight="1" outlineLevel="1">
      <c r="B141" s="1141" t="s">
        <v>759</v>
      </c>
      <c r="C141" s="158" t="s">
        <v>768</v>
      </c>
      <c r="D141" s="1037">
        <f t="shared" si="77"/>
        <v>77000</v>
      </c>
      <c r="E141" s="1037">
        <f t="shared" ref="E141:P146" si="79">(E120*E130)</f>
        <v>0</v>
      </c>
      <c r="F141" s="1037">
        <f t="shared" si="79"/>
        <v>0</v>
      </c>
      <c r="G141" s="1037">
        <f t="shared" si="79"/>
        <v>0</v>
      </c>
      <c r="H141" s="1037">
        <f t="shared" si="79"/>
        <v>0</v>
      </c>
      <c r="I141" s="1037">
        <f t="shared" si="79"/>
        <v>0</v>
      </c>
      <c r="J141" s="1037">
        <f t="shared" si="79"/>
        <v>0</v>
      </c>
      <c r="K141" s="1037">
        <f t="shared" si="79"/>
        <v>0</v>
      </c>
      <c r="L141" s="1037">
        <f t="shared" si="79"/>
        <v>42000</v>
      </c>
      <c r="M141" s="1037">
        <f t="shared" si="79"/>
        <v>0</v>
      </c>
      <c r="N141" s="1037">
        <f t="shared" si="79"/>
        <v>0</v>
      </c>
      <c r="O141" s="1037">
        <f t="shared" si="79"/>
        <v>35000</v>
      </c>
      <c r="P141" s="1037">
        <f t="shared" si="79"/>
        <v>0</v>
      </c>
      <c r="S141"/>
      <c r="T141"/>
      <c r="U141"/>
      <c r="V141"/>
      <c r="W141"/>
      <c r="X141"/>
      <c r="Y141"/>
      <c r="Z141"/>
      <c r="AA141"/>
      <c r="AB141"/>
      <c r="AC141"/>
      <c r="AD141"/>
      <c r="AE141"/>
    </row>
    <row r="142" spans="2:31" ht="18" customHeight="1" outlineLevel="1">
      <c r="B142" s="1141" t="s">
        <v>759</v>
      </c>
      <c r="C142" s="158" t="s">
        <v>769</v>
      </c>
      <c r="D142" s="1037">
        <f t="shared" si="77"/>
        <v>1257600</v>
      </c>
      <c r="E142" s="1037">
        <f t="shared" si="79"/>
        <v>72000</v>
      </c>
      <c r="F142" s="1037">
        <f t="shared" si="79"/>
        <v>96000</v>
      </c>
      <c r="G142" s="1037">
        <f t="shared" si="79"/>
        <v>187200</v>
      </c>
      <c r="H142" s="1037">
        <f t="shared" si="79"/>
        <v>158400</v>
      </c>
      <c r="I142" s="1037">
        <f t="shared" si="79"/>
        <v>124800</v>
      </c>
      <c r="J142" s="1037">
        <f t="shared" si="79"/>
        <v>91200</v>
      </c>
      <c r="K142" s="1037">
        <f t="shared" si="79"/>
        <v>124800</v>
      </c>
      <c r="L142" s="1037">
        <f t="shared" si="79"/>
        <v>43200</v>
      </c>
      <c r="M142" s="1037">
        <f t="shared" si="79"/>
        <v>67200</v>
      </c>
      <c r="N142" s="1037">
        <f t="shared" si="79"/>
        <v>148800</v>
      </c>
      <c r="O142" s="1037">
        <f t="shared" si="79"/>
        <v>43200</v>
      </c>
      <c r="P142" s="1037">
        <f t="shared" si="79"/>
        <v>100800</v>
      </c>
      <c r="S142"/>
      <c r="T142"/>
      <c r="U142"/>
      <c r="V142"/>
      <c r="W142"/>
      <c r="X142"/>
      <c r="Y142"/>
      <c r="Z142"/>
      <c r="AA142"/>
      <c r="AB142"/>
      <c r="AC142"/>
      <c r="AD142"/>
      <c r="AE142"/>
    </row>
    <row r="143" spans="2:31" ht="18" customHeight="1" outlineLevel="1">
      <c r="B143" s="1141" t="s">
        <v>759</v>
      </c>
      <c r="C143" s="158" t="s">
        <v>770</v>
      </c>
      <c r="D143" s="1037">
        <f t="shared" ref="D143:D146" si="80">IF(SUM(E143:P143)&gt;0,SUM(E143:P143),"")</f>
        <v>77000</v>
      </c>
      <c r="E143" s="1037">
        <f t="shared" si="79"/>
        <v>0</v>
      </c>
      <c r="F143" s="1037">
        <f t="shared" si="79"/>
        <v>0</v>
      </c>
      <c r="G143" s="1037">
        <f t="shared" si="79"/>
        <v>0</v>
      </c>
      <c r="H143" s="1037">
        <f t="shared" si="79"/>
        <v>0</v>
      </c>
      <c r="I143" s="1037">
        <f t="shared" si="79"/>
        <v>0</v>
      </c>
      <c r="J143" s="1037">
        <f t="shared" si="79"/>
        <v>0</v>
      </c>
      <c r="K143" s="1037">
        <f t="shared" si="79"/>
        <v>0</v>
      </c>
      <c r="L143" s="1037">
        <f t="shared" si="79"/>
        <v>42000</v>
      </c>
      <c r="M143" s="1037">
        <f t="shared" si="79"/>
        <v>0</v>
      </c>
      <c r="N143" s="1037">
        <f t="shared" si="79"/>
        <v>0</v>
      </c>
      <c r="O143" s="1037">
        <f t="shared" si="79"/>
        <v>35000</v>
      </c>
      <c r="P143" s="1037">
        <f t="shared" si="79"/>
        <v>0</v>
      </c>
      <c r="S143"/>
      <c r="T143"/>
      <c r="U143"/>
      <c r="V143"/>
      <c r="W143"/>
      <c r="X143"/>
      <c r="Y143"/>
      <c r="Z143"/>
      <c r="AA143"/>
      <c r="AB143"/>
      <c r="AC143"/>
      <c r="AD143"/>
      <c r="AE143"/>
    </row>
    <row r="144" spans="2:31" ht="18" customHeight="1" outlineLevel="1">
      <c r="B144" s="1141" t="s">
        <v>759</v>
      </c>
      <c r="C144" s="158" t="s">
        <v>771</v>
      </c>
      <c r="D144" s="1037">
        <f t="shared" si="80"/>
        <v>4114240</v>
      </c>
      <c r="E144" s="1037">
        <f t="shared" si="79"/>
        <v>299000</v>
      </c>
      <c r="F144" s="1037">
        <f t="shared" si="79"/>
        <v>478400</v>
      </c>
      <c r="G144" s="1037">
        <f t="shared" si="79"/>
        <v>418600</v>
      </c>
      <c r="H144" s="1037">
        <f t="shared" si="79"/>
        <v>442520</v>
      </c>
      <c r="I144" s="1037">
        <f t="shared" si="79"/>
        <v>424580</v>
      </c>
      <c r="J144" s="1037">
        <f t="shared" si="79"/>
        <v>400660</v>
      </c>
      <c r="K144" s="1037">
        <f t="shared" si="79"/>
        <v>358800</v>
      </c>
      <c r="L144" s="1037">
        <f t="shared" si="79"/>
        <v>293020</v>
      </c>
      <c r="M144" s="1037">
        <f t="shared" si="79"/>
        <v>370760</v>
      </c>
      <c r="N144" s="1037">
        <f t="shared" si="79"/>
        <v>191360</v>
      </c>
      <c r="O144" s="1037">
        <f t="shared" si="79"/>
        <v>119600</v>
      </c>
      <c r="P144" s="1037">
        <f t="shared" si="79"/>
        <v>316940</v>
      </c>
      <c r="S144"/>
      <c r="T144"/>
      <c r="U144"/>
      <c r="V144"/>
      <c r="W144"/>
      <c r="X144"/>
      <c r="Y144"/>
      <c r="Z144"/>
      <c r="AA144"/>
      <c r="AB144"/>
      <c r="AC144"/>
      <c r="AD144"/>
      <c r="AE144"/>
    </row>
    <row r="145" spans="2:31" ht="18" customHeight="1" outlineLevel="1">
      <c r="B145" s="1141" t="s">
        <v>759</v>
      </c>
      <c r="C145" s="158" t="s">
        <v>772</v>
      </c>
      <c r="D145" s="1037">
        <f t="shared" si="80"/>
        <v>31900</v>
      </c>
      <c r="E145" s="1037">
        <f t="shared" si="79"/>
        <v>0</v>
      </c>
      <c r="F145" s="1037">
        <f t="shared" si="79"/>
        <v>0</v>
      </c>
      <c r="G145" s="1037">
        <f t="shared" si="79"/>
        <v>0</v>
      </c>
      <c r="H145" s="1037">
        <f t="shared" si="79"/>
        <v>0</v>
      </c>
      <c r="I145" s="1037">
        <f t="shared" si="79"/>
        <v>0</v>
      </c>
      <c r="J145" s="1037">
        <f t="shared" si="79"/>
        <v>0</v>
      </c>
      <c r="K145" s="1037">
        <f t="shared" si="79"/>
        <v>0</v>
      </c>
      <c r="L145" s="1037">
        <f t="shared" si="79"/>
        <v>17400</v>
      </c>
      <c r="M145" s="1037">
        <f t="shared" si="79"/>
        <v>0</v>
      </c>
      <c r="N145" s="1037">
        <f t="shared" si="79"/>
        <v>0</v>
      </c>
      <c r="O145" s="1037">
        <f t="shared" si="79"/>
        <v>14500</v>
      </c>
      <c r="P145" s="1037">
        <f>(P124*P134)</f>
        <v>0</v>
      </c>
      <c r="S145"/>
      <c r="T145"/>
      <c r="U145"/>
      <c r="V145"/>
      <c r="W145"/>
      <c r="X145"/>
      <c r="Y145"/>
      <c r="Z145"/>
      <c r="AA145"/>
      <c r="AB145"/>
      <c r="AC145"/>
      <c r="AD145"/>
      <c r="AE145"/>
    </row>
    <row r="146" spans="2:31" ht="18" customHeight="1" outlineLevel="1">
      <c r="B146" s="1141" t="s">
        <v>759</v>
      </c>
      <c r="C146" s="158" t="s">
        <v>773</v>
      </c>
      <c r="D146" s="1037">
        <f t="shared" si="80"/>
        <v>129800</v>
      </c>
      <c r="E146" s="1037">
        <f t="shared" si="79"/>
        <v>0</v>
      </c>
      <c r="F146" s="1037">
        <f t="shared" si="79"/>
        <v>0</v>
      </c>
      <c r="G146" s="1037">
        <f t="shared" si="79"/>
        <v>0</v>
      </c>
      <c r="H146" s="1037">
        <f t="shared" si="79"/>
        <v>0</v>
      </c>
      <c r="I146" s="1037">
        <f t="shared" si="79"/>
        <v>0</v>
      </c>
      <c r="J146" s="1037">
        <f t="shared" si="79"/>
        <v>22000</v>
      </c>
      <c r="K146" s="1037">
        <f t="shared" si="79"/>
        <v>52800</v>
      </c>
      <c r="L146" s="1037">
        <f t="shared" si="79"/>
        <v>0</v>
      </c>
      <c r="M146" s="1037">
        <f t="shared" si="79"/>
        <v>0</v>
      </c>
      <c r="N146" s="1037">
        <f t="shared" si="79"/>
        <v>0</v>
      </c>
      <c r="O146" s="1037">
        <f t="shared" si="79"/>
        <v>24200</v>
      </c>
      <c r="P146" s="1037">
        <f>(P125*P135)</f>
        <v>30800</v>
      </c>
      <c r="S146"/>
      <c r="T146"/>
      <c r="U146"/>
      <c r="V146"/>
      <c r="W146"/>
      <c r="X146"/>
      <c r="Y146"/>
      <c r="Z146"/>
      <c r="AA146"/>
      <c r="AB146"/>
      <c r="AC146"/>
      <c r="AD146"/>
      <c r="AE146"/>
    </row>
    <row r="147" spans="2:31" ht="18" customHeight="1" outlineLevel="1">
      <c r="B147" s="1141" t="s">
        <v>759</v>
      </c>
      <c r="C147" s="158" t="s">
        <v>774</v>
      </c>
      <c r="D147" s="1037">
        <f t="shared" si="77"/>
        <v>36084.905660377364</v>
      </c>
      <c r="E147" s="1037">
        <f>(E127*E136)</f>
        <v>0</v>
      </c>
      <c r="F147" s="1037">
        <f t="shared" ref="F147:P148" si="81">(F127*F136)</f>
        <v>0</v>
      </c>
      <c r="G147" s="1037">
        <f t="shared" si="81"/>
        <v>0</v>
      </c>
      <c r="H147" s="1037">
        <f t="shared" si="81"/>
        <v>0</v>
      </c>
      <c r="I147" s="1037">
        <f t="shared" si="81"/>
        <v>0</v>
      </c>
      <c r="J147" s="1037">
        <f t="shared" si="81"/>
        <v>36084.905660377364</v>
      </c>
      <c r="K147" s="1037">
        <f t="shared" si="81"/>
        <v>0</v>
      </c>
      <c r="L147" s="1037">
        <f t="shared" si="81"/>
        <v>0</v>
      </c>
      <c r="M147" s="1037">
        <f t="shared" si="81"/>
        <v>0</v>
      </c>
      <c r="N147" s="1037">
        <f t="shared" si="81"/>
        <v>0</v>
      </c>
      <c r="O147" s="1037">
        <f t="shared" si="81"/>
        <v>0</v>
      </c>
      <c r="P147" s="1037">
        <f t="shared" si="81"/>
        <v>0</v>
      </c>
      <c r="S147"/>
      <c r="T147"/>
      <c r="U147"/>
      <c r="V147"/>
      <c r="W147"/>
      <c r="X147"/>
      <c r="Y147"/>
      <c r="Z147"/>
      <c r="AA147"/>
      <c r="AB147"/>
      <c r="AC147"/>
      <c r="AD147"/>
      <c r="AE147"/>
    </row>
    <row r="148" spans="2:31" ht="18" customHeight="1" outlineLevel="1">
      <c r="B148" s="1141" t="s">
        <v>759</v>
      </c>
      <c r="C148" s="158" t="s">
        <v>775</v>
      </c>
      <c r="D148" s="1037" t="str">
        <f t="shared" ref="D148" si="82">IF(SUM(E148:P148)&gt;0,SUM(E148:P148),"")</f>
        <v/>
      </c>
      <c r="E148" s="1037">
        <f>(E128*E137)</f>
        <v>0</v>
      </c>
      <c r="F148" s="1037">
        <f t="shared" si="81"/>
        <v>0</v>
      </c>
      <c r="G148" s="1037">
        <f t="shared" si="81"/>
        <v>0</v>
      </c>
      <c r="H148" s="1037">
        <f t="shared" si="81"/>
        <v>0</v>
      </c>
      <c r="I148" s="1037">
        <f t="shared" si="81"/>
        <v>0</v>
      </c>
      <c r="J148" s="1037">
        <f t="shared" si="81"/>
        <v>0</v>
      </c>
      <c r="K148" s="1037">
        <f t="shared" si="81"/>
        <v>0</v>
      </c>
      <c r="L148" s="1037">
        <f t="shared" si="81"/>
        <v>0</v>
      </c>
      <c r="M148" s="1037">
        <f t="shared" si="81"/>
        <v>0</v>
      </c>
      <c r="N148" s="1037">
        <f t="shared" si="81"/>
        <v>0</v>
      </c>
      <c r="O148" s="1037">
        <f t="shared" si="81"/>
        <v>0</v>
      </c>
      <c r="P148" s="1037">
        <f t="shared" si="81"/>
        <v>0</v>
      </c>
      <c r="S148"/>
      <c r="T148"/>
      <c r="U148"/>
      <c r="V148"/>
      <c r="W148"/>
      <c r="X148"/>
      <c r="Y148"/>
      <c r="Z148"/>
      <c r="AA148"/>
      <c r="AB148"/>
      <c r="AC148"/>
      <c r="AD148"/>
      <c r="AE148"/>
    </row>
    <row r="149" spans="2:31" ht="18" customHeight="1">
      <c r="B149" s="1141" t="s">
        <v>759</v>
      </c>
      <c r="C149" s="1033" t="s">
        <v>738</v>
      </c>
      <c r="D149" s="1040">
        <f>IFERROR(SUM(E149:P149),"")</f>
        <v>4164140.4653084222</v>
      </c>
      <c r="E149" s="1040">
        <f t="shared" ref="E149:P149" si="83">SUM(E150:E154)</f>
        <v>312619.74182320375</v>
      </c>
      <c r="F149" s="1040">
        <f t="shared" si="83"/>
        <v>460676.4816266594</v>
      </c>
      <c r="G149" s="1040">
        <f t="shared" si="83"/>
        <v>489085.57285367284</v>
      </c>
      <c r="H149" s="1040">
        <f t="shared" si="83"/>
        <v>483338.86867570109</v>
      </c>
      <c r="I149" s="1040">
        <f t="shared" si="83"/>
        <v>349277.15829511889</v>
      </c>
      <c r="J149" s="1040">
        <f t="shared" si="83"/>
        <v>444790.35752199643</v>
      </c>
      <c r="K149" s="1040">
        <f t="shared" si="83"/>
        <v>419287.48630750948</v>
      </c>
      <c r="L149" s="1040">
        <f t="shared" si="83"/>
        <v>276133.32201150199</v>
      </c>
      <c r="M149" s="1040">
        <f t="shared" si="83"/>
        <v>236124.46409726451</v>
      </c>
      <c r="N149" s="1040">
        <f t="shared" si="83"/>
        <v>236923.28929486225</v>
      </c>
      <c r="O149" s="1040">
        <f t="shared" si="83"/>
        <v>157042.55191288813</v>
      </c>
      <c r="P149" s="1040">
        <f t="shared" si="83"/>
        <v>298841.17088804324</v>
      </c>
      <c r="S149"/>
      <c r="T149"/>
      <c r="U149"/>
      <c r="V149"/>
      <c r="W149"/>
      <c r="X149"/>
      <c r="Y149"/>
      <c r="Z149"/>
      <c r="AA149"/>
      <c r="AB149"/>
      <c r="AC149"/>
      <c r="AD149"/>
      <c r="AE149"/>
    </row>
    <row r="150" spans="2:31" ht="18" customHeight="1" outlineLevel="1">
      <c r="B150" s="1141" t="s">
        <v>759</v>
      </c>
      <c r="C150" s="1110" t="s">
        <v>767</v>
      </c>
      <c r="D150" s="1041">
        <f>IF(SUM(E150:P150)&gt;0,SUM(E150:P150),"")</f>
        <v>3768942.6711084219</v>
      </c>
      <c r="E150" s="1038">
        <v>278863.56602320378</v>
      </c>
      <c r="F150" s="1038">
        <v>431463.84242665942</v>
      </c>
      <c r="G150" s="1038">
        <v>453515.62265367282</v>
      </c>
      <c r="H150" s="1038">
        <v>449832.33807570103</v>
      </c>
      <c r="I150" s="1038">
        <v>319211.36449511885</v>
      </c>
      <c r="J150" s="1038">
        <v>398429.87552199641</v>
      </c>
      <c r="K150" s="1038">
        <v>391925.63070750952</v>
      </c>
      <c r="L150" s="1038">
        <v>231822.79181150201</v>
      </c>
      <c r="M150" s="1038">
        <v>206313.37029726454</v>
      </c>
      <c r="N150" s="1038">
        <v>190033.57989486225</v>
      </c>
      <c r="O150" s="1038">
        <v>139124.50911288813</v>
      </c>
      <c r="P150" s="1038">
        <v>278406.18008804321</v>
      </c>
      <c r="S150"/>
      <c r="T150"/>
      <c r="U150"/>
      <c r="V150"/>
      <c r="W150"/>
      <c r="X150"/>
      <c r="Y150"/>
      <c r="Z150"/>
      <c r="AA150"/>
      <c r="AB150"/>
      <c r="AC150"/>
      <c r="AD150"/>
      <c r="AE150"/>
    </row>
    <row r="151" spans="2:31" ht="18" customHeight="1" outlineLevel="1">
      <c r="B151" s="1141" t="s">
        <v>759</v>
      </c>
      <c r="C151" s="1110" t="s">
        <v>726</v>
      </c>
      <c r="D151" s="1041">
        <f t="shared" ref="D151:D154" si="84">IF(SUM(E151:P151)&gt;0,SUM(E151:P151),"")</f>
        <v>5724.34</v>
      </c>
      <c r="E151" s="1036"/>
      <c r="F151" s="1036"/>
      <c r="G151" s="1038"/>
      <c r="H151" s="1038"/>
      <c r="I151" s="1036"/>
      <c r="J151" s="1038">
        <f>1887.88+244.82</f>
        <v>2132.7000000000003</v>
      </c>
      <c r="K151" s="1038">
        <v>45.72</v>
      </c>
      <c r="L151" s="1038">
        <v>1519.44</v>
      </c>
      <c r="M151" s="1038">
        <v>746.01999999999987</v>
      </c>
      <c r="N151" s="1038">
        <v>103.96</v>
      </c>
      <c r="O151" s="1038">
        <v>246.5</v>
      </c>
      <c r="P151" s="1038">
        <v>930</v>
      </c>
      <c r="S151"/>
      <c r="T151"/>
      <c r="U151"/>
      <c r="V151"/>
      <c r="W151"/>
      <c r="X151"/>
      <c r="Y151"/>
      <c r="Z151"/>
      <c r="AA151"/>
      <c r="AB151"/>
      <c r="AC151"/>
      <c r="AD151"/>
      <c r="AE151"/>
    </row>
    <row r="152" spans="2:31" ht="18" customHeight="1" outlineLevel="1">
      <c r="B152" s="1141" t="s">
        <v>759</v>
      </c>
      <c r="C152" s="1111" t="s">
        <v>717</v>
      </c>
      <c r="D152" s="1041">
        <f t="shared" si="84"/>
        <v>5362.4049999999997</v>
      </c>
      <c r="E152" s="1037"/>
      <c r="F152" s="1037"/>
      <c r="G152" s="1037"/>
      <c r="H152" s="1037">
        <v>2694.4049999999997</v>
      </c>
      <c r="I152" s="1037">
        <v>888</v>
      </c>
      <c r="J152" s="1037">
        <v>1780</v>
      </c>
      <c r="K152" s="1038"/>
      <c r="L152" s="1038"/>
      <c r="M152" s="1038"/>
      <c r="N152" s="1038"/>
      <c r="O152" s="1038"/>
      <c r="P152" s="1038"/>
      <c r="S152"/>
      <c r="T152"/>
      <c r="U152"/>
      <c r="V152"/>
      <c r="W152"/>
      <c r="X152"/>
      <c r="Y152"/>
      <c r="Z152"/>
      <c r="AA152"/>
      <c r="AB152"/>
      <c r="AC152"/>
      <c r="AD152"/>
      <c r="AE152"/>
    </row>
    <row r="153" spans="2:31" ht="18" customHeight="1" outlineLevel="1">
      <c r="B153" s="1141" t="s">
        <v>759</v>
      </c>
      <c r="C153" s="1110" t="s">
        <v>718</v>
      </c>
      <c r="D153" s="1041">
        <f t="shared" si="84"/>
        <v>321416.89919999999</v>
      </c>
      <c r="E153" s="1038">
        <v>33756.175799999997</v>
      </c>
      <c r="F153" s="1038">
        <v>19176.4692</v>
      </c>
      <c r="G153" s="1038">
        <v>32074.930199999999</v>
      </c>
      <c r="H153" s="1038">
        <v>25568.625599999999</v>
      </c>
      <c r="I153" s="1038">
        <v>25682.773799999999</v>
      </c>
      <c r="J153" s="1038">
        <v>31960.781999999999</v>
      </c>
      <c r="K153" s="1038">
        <v>25568.625599999999</v>
      </c>
      <c r="L153" s="1038">
        <v>32074.930199999999</v>
      </c>
      <c r="M153" s="1038">
        <v>25682.773799999999</v>
      </c>
      <c r="N153" s="1038">
        <v>38248.949399999998</v>
      </c>
      <c r="O153" s="1038">
        <v>15980.3928</v>
      </c>
      <c r="P153" s="1038">
        <v>15641.470799999999</v>
      </c>
      <c r="S153"/>
      <c r="T153"/>
      <c r="U153"/>
      <c r="V153"/>
      <c r="W153"/>
      <c r="X153"/>
      <c r="Y153"/>
      <c r="Z153"/>
      <c r="AA153"/>
      <c r="AB153"/>
      <c r="AC153"/>
      <c r="AD153"/>
      <c r="AE153"/>
    </row>
    <row r="154" spans="2:31" ht="18" customHeight="1" outlineLevel="1">
      <c r="B154" s="1141" t="s">
        <v>759</v>
      </c>
      <c r="C154" s="1111" t="s">
        <v>719</v>
      </c>
      <c r="D154" s="1041">
        <f t="shared" si="84"/>
        <v>62694.149999999994</v>
      </c>
      <c r="E154" s="1037"/>
      <c r="F154" s="1037">
        <v>10036.169999999996</v>
      </c>
      <c r="G154" s="1037">
        <v>3495.02</v>
      </c>
      <c r="H154" s="1037">
        <v>5243.5</v>
      </c>
      <c r="I154" s="1037">
        <v>3495.02</v>
      </c>
      <c r="J154" s="1037">
        <v>10487</v>
      </c>
      <c r="K154" s="1038">
        <v>1747.51</v>
      </c>
      <c r="L154" s="1038">
        <v>10716.16</v>
      </c>
      <c r="M154" s="1038">
        <v>3382.3</v>
      </c>
      <c r="N154" s="1038">
        <v>8536.7999999999993</v>
      </c>
      <c r="O154" s="1038">
        <v>1691.15</v>
      </c>
      <c r="P154" s="1038">
        <v>3863.5200000000004</v>
      </c>
      <c r="S154"/>
      <c r="T154"/>
      <c r="U154"/>
      <c r="V154"/>
      <c r="W154"/>
      <c r="X154"/>
      <c r="Y154"/>
      <c r="Z154"/>
      <c r="AA154"/>
      <c r="AB154"/>
      <c r="AC154"/>
      <c r="AD154"/>
      <c r="AE154"/>
    </row>
    <row r="155" spans="2:31" ht="18" customHeight="1" thickBot="1">
      <c r="B155" s="1141" t="s">
        <v>759</v>
      </c>
      <c r="C155" s="1045" t="s">
        <v>716</v>
      </c>
      <c r="D155" s="1044">
        <f>IFERROR(SUM(E155:P155),"")</f>
        <v>1559484.4403519554</v>
      </c>
      <c r="E155" s="1044">
        <f t="shared" ref="E155:P155" si="85">(E138-E149)</f>
        <v>58380.258176796255</v>
      </c>
      <c r="F155" s="1044">
        <f t="shared" si="85"/>
        <v>113723.5183733406</v>
      </c>
      <c r="G155" s="1044">
        <f t="shared" si="85"/>
        <v>116714.42714632716</v>
      </c>
      <c r="H155" s="1044">
        <f t="shared" si="85"/>
        <v>117581.13132429891</v>
      </c>
      <c r="I155" s="1044">
        <f t="shared" si="85"/>
        <v>200102.84170488111</v>
      </c>
      <c r="J155" s="1044">
        <f t="shared" si="85"/>
        <v>105154.54813838092</v>
      </c>
      <c r="K155" s="1044">
        <f t="shared" si="85"/>
        <v>117112.51369249052</v>
      </c>
      <c r="L155" s="1044">
        <f t="shared" si="85"/>
        <v>161486.67798849801</v>
      </c>
      <c r="M155" s="1044">
        <f t="shared" si="85"/>
        <v>201835.53590273549</v>
      </c>
      <c r="N155" s="1044">
        <f t="shared" si="85"/>
        <v>103236.71070513775</v>
      </c>
      <c r="O155" s="1044">
        <f t="shared" si="85"/>
        <v>114457.44808711187</v>
      </c>
      <c r="P155" s="1044">
        <f t="shared" si="85"/>
        <v>149698.82911195676</v>
      </c>
      <c r="S155"/>
      <c r="T155"/>
      <c r="U155"/>
      <c r="V155"/>
      <c r="W155"/>
      <c r="X155"/>
      <c r="Y155"/>
      <c r="Z155"/>
      <c r="AA155"/>
      <c r="AB155"/>
      <c r="AC155"/>
      <c r="AD155"/>
      <c r="AE155"/>
    </row>
    <row r="156" spans="2:31" ht="18" customHeight="1" outlineLevel="1" thickTop="1">
      <c r="B156" s="1141" t="s">
        <v>759</v>
      </c>
      <c r="C156" s="1049"/>
      <c r="D156" s="1049">
        <f t="shared" ref="D156:P156" si="86">IFERROR(D155/D138,"")</f>
        <v>0.27246447243768601</v>
      </c>
      <c r="E156" s="1049">
        <f t="shared" si="86"/>
        <v>0.15735918646036726</v>
      </c>
      <c r="F156" s="1049">
        <f t="shared" si="86"/>
        <v>0.19798662669453448</v>
      </c>
      <c r="G156" s="1049">
        <f t="shared" si="86"/>
        <v>0.19266164930063909</v>
      </c>
      <c r="H156" s="1049">
        <f t="shared" si="86"/>
        <v>0.19566852713222876</v>
      </c>
      <c r="I156" s="1049">
        <f t="shared" si="86"/>
        <v>0.36423393954072064</v>
      </c>
      <c r="J156" s="1049">
        <f t="shared" si="86"/>
        <v>0.19120924124592203</v>
      </c>
      <c r="K156" s="1049">
        <f t="shared" si="86"/>
        <v>0.21833056243939322</v>
      </c>
      <c r="L156" s="1049">
        <f t="shared" si="86"/>
        <v>0.36901119233238427</v>
      </c>
      <c r="M156" s="1049">
        <f t="shared" si="86"/>
        <v>0.4608538129115341</v>
      </c>
      <c r="N156" s="1049">
        <f t="shared" si="86"/>
        <v>0.3034945634558377</v>
      </c>
      <c r="O156" s="1049">
        <f t="shared" si="86"/>
        <v>0.42157439442766803</v>
      </c>
      <c r="P156" s="1049">
        <f t="shared" si="86"/>
        <v>0.33374688792963114</v>
      </c>
      <c r="S156"/>
      <c r="T156"/>
      <c r="U156"/>
      <c r="V156"/>
      <c r="W156"/>
      <c r="X156"/>
      <c r="Y156"/>
      <c r="Z156"/>
      <c r="AA156"/>
      <c r="AB156"/>
      <c r="AC156"/>
      <c r="AD156"/>
      <c r="AE156"/>
    </row>
    <row r="157" spans="2:31" ht="18" customHeight="1">
      <c r="B157" s="1141" t="s">
        <v>759</v>
      </c>
      <c r="C157" s="1042" t="s">
        <v>740</v>
      </c>
      <c r="D157" s="1043">
        <f t="shared" ref="D157:D165" si="87">IF(SUM(E157:P157)&gt;0,SUM(E157:P157),"")</f>
        <v>456263.75663650001</v>
      </c>
      <c r="E157" s="1043">
        <f>SUM(E158:E163)</f>
        <v>36209.599500000004</v>
      </c>
      <c r="F157" s="1043">
        <f>SUM(F158:F163)</f>
        <v>34931.423000000003</v>
      </c>
      <c r="G157" s="1043">
        <f>SUM(G158:G163)</f>
        <v>36328.542136499993</v>
      </c>
      <c r="H157" s="1043">
        <f>SUM(H158:H163)</f>
        <v>36043.520000000004</v>
      </c>
      <c r="I157" s="1043">
        <f t="shared" ref="I157:P157" si="88">SUM(I158:I163)</f>
        <v>36412.376000000004</v>
      </c>
      <c r="J157" s="1043">
        <f t="shared" si="88"/>
        <v>38144.898999999998</v>
      </c>
      <c r="K157" s="1043">
        <f t="shared" si="88"/>
        <v>35340.120999999999</v>
      </c>
      <c r="L157" s="1043">
        <f t="shared" si="88"/>
        <v>42863.199999999997</v>
      </c>
      <c r="M157" s="1043">
        <f t="shared" si="88"/>
        <v>36411.351499999997</v>
      </c>
      <c r="N157" s="1043">
        <f t="shared" si="88"/>
        <v>44414.501499999998</v>
      </c>
      <c r="O157" s="1043">
        <f t="shared" si="88"/>
        <v>42948.108</v>
      </c>
      <c r="P157" s="1043">
        <f t="shared" si="88"/>
        <v>36216.115000000005</v>
      </c>
      <c r="S157"/>
      <c r="T157"/>
      <c r="U157"/>
      <c r="V157"/>
      <c r="W157"/>
      <c r="X157"/>
      <c r="Y157"/>
      <c r="Z157"/>
      <c r="AA157"/>
      <c r="AB157"/>
      <c r="AC157"/>
      <c r="AD157"/>
      <c r="AE157"/>
    </row>
    <row r="158" spans="2:31" ht="18" customHeight="1" outlineLevel="1">
      <c r="B158" s="1141" t="s">
        <v>759</v>
      </c>
      <c r="C158" s="1111" t="s">
        <v>720</v>
      </c>
      <c r="D158" s="1041" t="str">
        <f t="shared" si="87"/>
        <v/>
      </c>
      <c r="E158" s="1038"/>
      <c r="F158" s="1038"/>
      <c r="G158" s="1038"/>
      <c r="H158" s="1038"/>
      <c r="I158" s="1038"/>
      <c r="J158" s="1038"/>
      <c r="K158" s="1038"/>
      <c r="L158" s="1038"/>
      <c r="M158" s="1038"/>
      <c r="N158" s="1038"/>
      <c r="O158" s="1038"/>
      <c r="P158" s="1038"/>
      <c r="S158"/>
      <c r="T158"/>
      <c r="U158"/>
      <c r="V158"/>
      <c r="W158"/>
      <c r="X158"/>
      <c r="Y158"/>
      <c r="Z158"/>
      <c r="AA158"/>
      <c r="AB158"/>
      <c r="AC158"/>
      <c r="AD158"/>
      <c r="AE158"/>
    </row>
    <row r="159" spans="2:31" ht="18" customHeight="1" outlineLevel="1">
      <c r="B159" s="1141" t="s">
        <v>759</v>
      </c>
      <c r="C159" s="1111" t="s">
        <v>719</v>
      </c>
      <c r="D159" s="1041" t="str">
        <f t="shared" si="87"/>
        <v/>
      </c>
      <c r="E159" s="1038"/>
      <c r="F159" s="1038"/>
      <c r="G159" s="1038"/>
      <c r="H159" s="1038"/>
      <c r="I159" s="1038"/>
      <c r="J159" s="1038"/>
      <c r="K159" s="1038"/>
      <c r="L159" s="1038"/>
      <c r="M159" s="1038"/>
      <c r="N159" s="1038"/>
      <c r="O159" s="1038"/>
      <c r="P159" s="1038"/>
      <c r="S159"/>
      <c r="T159"/>
      <c r="U159"/>
      <c r="V159"/>
      <c r="W159"/>
      <c r="X159"/>
      <c r="Y159"/>
      <c r="Z159"/>
      <c r="AA159"/>
      <c r="AB159"/>
      <c r="AC159"/>
      <c r="AD159"/>
      <c r="AE159"/>
    </row>
    <row r="160" spans="2:31" ht="18" customHeight="1" outlineLevel="1">
      <c r="B160" s="1141" t="s">
        <v>759</v>
      </c>
      <c r="C160" s="1110" t="s">
        <v>721</v>
      </c>
      <c r="D160" s="1041">
        <f t="shared" si="87"/>
        <v>37381.780000000006</v>
      </c>
      <c r="E160" s="1038">
        <v>880.5</v>
      </c>
      <c r="F160" s="1038">
        <v>942.5</v>
      </c>
      <c r="G160" s="1038">
        <v>1691.67</v>
      </c>
      <c r="H160" s="1038">
        <v>693.5</v>
      </c>
      <c r="I160" s="1038">
        <v>1139</v>
      </c>
      <c r="J160" s="1038">
        <v>3154.69</v>
      </c>
      <c r="K160" s="1038">
        <v>1072</v>
      </c>
      <c r="L160" s="1038">
        <f>1306.5+6949</f>
        <v>8255.5</v>
      </c>
      <c r="M160" s="1038">
        <f>1413.6+527.09</f>
        <v>1940.69</v>
      </c>
      <c r="N160" s="1038">
        <v>9013.6</v>
      </c>
      <c r="O160" s="1038">
        <v>7418.1600000000008</v>
      </c>
      <c r="P160" s="1038">
        <f>639+540.97</f>
        <v>1179.97</v>
      </c>
      <c r="S160"/>
      <c r="T160"/>
      <c r="U160"/>
      <c r="V160"/>
      <c r="W160"/>
      <c r="X160"/>
      <c r="Y160"/>
      <c r="Z160"/>
      <c r="AA160"/>
      <c r="AB160"/>
      <c r="AC160"/>
      <c r="AD160"/>
      <c r="AE160"/>
    </row>
    <row r="161" spans="2:31" ht="18" customHeight="1" outlineLevel="1">
      <c r="B161" s="1141" t="s">
        <v>759</v>
      </c>
      <c r="C161" s="158" t="s">
        <v>752</v>
      </c>
      <c r="D161" s="1041">
        <f t="shared" ref="D161:D163" si="89">IF(SUM(E161:P161)&gt;0,SUM(E161:P161),"")</f>
        <v>367231.41</v>
      </c>
      <c r="E161" s="1068">
        <f>((15693.65*52)/12)*0.45</f>
        <v>30602.6175</v>
      </c>
      <c r="F161" s="1068">
        <f t="shared" ref="F161:P161" si="90">((15693.65*52)/12)*0.45</f>
        <v>30602.6175</v>
      </c>
      <c r="G161" s="1068">
        <f t="shared" si="90"/>
        <v>30602.6175</v>
      </c>
      <c r="H161" s="1068">
        <f t="shared" si="90"/>
        <v>30602.6175</v>
      </c>
      <c r="I161" s="1068">
        <f t="shared" si="90"/>
        <v>30602.6175</v>
      </c>
      <c r="J161" s="1068">
        <f t="shared" si="90"/>
        <v>30602.6175</v>
      </c>
      <c r="K161" s="1068">
        <f t="shared" si="90"/>
        <v>30602.6175</v>
      </c>
      <c r="L161" s="1068">
        <f t="shared" si="90"/>
        <v>30602.6175</v>
      </c>
      <c r="M161" s="1068">
        <f t="shared" si="90"/>
        <v>30602.6175</v>
      </c>
      <c r="N161" s="1068">
        <f t="shared" si="90"/>
        <v>30602.6175</v>
      </c>
      <c r="O161" s="1068">
        <f t="shared" si="90"/>
        <v>30602.6175</v>
      </c>
      <c r="P161" s="1068">
        <f t="shared" si="90"/>
        <v>30602.6175</v>
      </c>
      <c r="S161"/>
      <c r="T161"/>
      <c r="U161"/>
      <c r="V161"/>
      <c r="W161"/>
      <c r="X161"/>
      <c r="Y161"/>
      <c r="Z161"/>
      <c r="AA161"/>
      <c r="AB161"/>
      <c r="AC161"/>
      <c r="AD161"/>
      <c r="AE161"/>
    </row>
    <row r="162" spans="2:31" ht="18" customHeight="1" outlineLevel="1">
      <c r="B162" s="1141" t="s">
        <v>759</v>
      </c>
      <c r="C162" s="158" t="s">
        <v>384</v>
      </c>
      <c r="D162" s="1041">
        <f t="shared" si="89"/>
        <v>7344.5580000000009</v>
      </c>
      <c r="E162" s="1068">
        <f>((313.87*52)/12)*0.45</f>
        <v>612.04649999999992</v>
      </c>
      <c r="F162" s="1068">
        <f t="shared" ref="F162:P162" si="91">((313.87*52)/12)*0.45</f>
        <v>612.04649999999992</v>
      </c>
      <c r="G162" s="1068">
        <f t="shared" si="91"/>
        <v>612.04649999999992</v>
      </c>
      <c r="H162" s="1068">
        <f t="shared" si="91"/>
        <v>612.04649999999992</v>
      </c>
      <c r="I162" s="1068">
        <f t="shared" si="91"/>
        <v>612.04649999999992</v>
      </c>
      <c r="J162" s="1068">
        <f t="shared" si="91"/>
        <v>612.04649999999992</v>
      </c>
      <c r="K162" s="1068">
        <f t="shared" si="91"/>
        <v>612.04649999999992</v>
      </c>
      <c r="L162" s="1068">
        <f t="shared" si="91"/>
        <v>612.04649999999992</v>
      </c>
      <c r="M162" s="1068">
        <f t="shared" si="91"/>
        <v>612.04649999999992</v>
      </c>
      <c r="N162" s="1068">
        <f t="shared" si="91"/>
        <v>612.04649999999992</v>
      </c>
      <c r="O162" s="1068">
        <f t="shared" si="91"/>
        <v>612.04649999999992</v>
      </c>
      <c r="P162" s="1068">
        <f t="shared" si="91"/>
        <v>612.04649999999992</v>
      </c>
      <c r="S162"/>
      <c r="T162"/>
      <c r="U162"/>
      <c r="V162"/>
      <c r="W162"/>
      <c r="X162"/>
      <c r="Y162"/>
      <c r="Z162"/>
      <c r="AA162"/>
      <c r="AB162"/>
      <c r="AC162"/>
      <c r="AD162"/>
      <c r="AE162"/>
    </row>
    <row r="163" spans="2:31" ht="18" customHeight="1" outlineLevel="1">
      <c r="B163" s="1141" t="s">
        <v>759</v>
      </c>
      <c r="C163" s="158" t="s">
        <v>717</v>
      </c>
      <c r="D163" s="1041">
        <f t="shared" si="89"/>
        <v>44306.008636500002</v>
      </c>
      <c r="E163" s="1068">
        <f>9143.19*0.45</f>
        <v>4114.4355000000005</v>
      </c>
      <c r="F163" s="1068">
        <f>6165.02*0.45</f>
        <v>2774.2590000000005</v>
      </c>
      <c r="G163" s="1068">
        <f>7604.90697*0.45</f>
        <v>3422.2081364999999</v>
      </c>
      <c r="H163" s="1068">
        <f>9189.68*0.45</f>
        <v>4135.3560000000007</v>
      </c>
      <c r="I163" s="1068">
        <f>9019.36*0.45</f>
        <v>4058.7120000000004</v>
      </c>
      <c r="J163" s="1068">
        <f>8390.1*0.45</f>
        <v>3775.5450000000001</v>
      </c>
      <c r="K163" s="1068">
        <f>6785.46*0.45</f>
        <v>3053.4569999999999</v>
      </c>
      <c r="L163" s="1068">
        <f>7540.08*0.45</f>
        <v>3393.0360000000001</v>
      </c>
      <c r="M163" s="1068">
        <f>7235.55*0.45</f>
        <v>3255.9974999999999</v>
      </c>
      <c r="N163" s="1068">
        <f>9302.75*0.45</f>
        <v>4186.2375000000002</v>
      </c>
      <c r="O163" s="1068">
        <f>9589.52*0.45</f>
        <v>4315.2840000000006</v>
      </c>
      <c r="P163" s="1068">
        <f>8492.18*0.45</f>
        <v>3821.4810000000002</v>
      </c>
      <c r="S163"/>
      <c r="T163"/>
      <c r="U163"/>
      <c r="V163"/>
      <c r="W163"/>
      <c r="X163"/>
      <c r="Y163"/>
      <c r="Z163"/>
      <c r="AA163"/>
      <c r="AB163"/>
      <c r="AC163"/>
      <c r="AD163"/>
      <c r="AE163"/>
    </row>
    <row r="164" spans="2:31" ht="18" customHeight="1">
      <c r="B164" s="1141" t="s">
        <v>759</v>
      </c>
      <c r="C164" s="1033" t="s">
        <v>741</v>
      </c>
      <c r="D164" s="1039">
        <f t="shared" si="87"/>
        <v>163171.35999999999</v>
      </c>
      <c r="E164" s="1039">
        <f>IF(SUM(E165:E165)&gt;0,SUM(E165:E165),0)</f>
        <v>9495.1999999999989</v>
      </c>
      <c r="F164" s="1039">
        <f t="shared" ref="F164:P164" si="92">IF(SUM(F165:F165)&gt;0,SUM(F165:F165),0)</f>
        <v>14607.999999999996</v>
      </c>
      <c r="G164" s="1039">
        <f t="shared" si="92"/>
        <v>15922.719999999998</v>
      </c>
      <c r="H164" s="1039">
        <f t="shared" si="92"/>
        <v>15630.559999999998</v>
      </c>
      <c r="I164" s="1039">
        <f t="shared" si="92"/>
        <v>14169.759999999998</v>
      </c>
      <c r="J164" s="1039">
        <f t="shared" si="92"/>
        <v>24979.679999999993</v>
      </c>
      <c r="K164" s="1039">
        <f t="shared" si="92"/>
        <v>16068.8</v>
      </c>
      <c r="L164" s="1039">
        <f t="shared" si="92"/>
        <v>11102.079999999998</v>
      </c>
      <c r="M164" s="1039">
        <f t="shared" si="92"/>
        <v>11102.079999999998</v>
      </c>
      <c r="N164" s="1039">
        <f t="shared" si="92"/>
        <v>9203.0399999999991</v>
      </c>
      <c r="O164" s="1039">
        <f t="shared" si="92"/>
        <v>8034.3999999999987</v>
      </c>
      <c r="P164" s="1039">
        <f t="shared" si="92"/>
        <v>12855.039999999997</v>
      </c>
      <c r="S164"/>
      <c r="T164"/>
      <c r="U164"/>
      <c r="V164"/>
      <c r="W164"/>
      <c r="X164"/>
      <c r="Y164"/>
      <c r="Z164"/>
      <c r="AA164"/>
      <c r="AB164"/>
      <c r="AC164"/>
      <c r="AD164"/>
      <c r="AE164"/>
    </row>
    <row r="165" spans="2:31" ht="18" customHeight="1" outlineLevel="1" thickBot="1">
      <c r="B165" s="1141" t="s">
        <v>759</v>
      </c>
      <c r="C165" s="1028" t="s">
        <v>721</v>
      </c>
      <c r="D165" s="1041">
        <f t="shared" si="87"/>
        <v>163171.35999999999</v>
      </c>
      <c r="E165" s="1038">
        <v>9495.1999999999989</v>
      </c>
      <c r="F165" s="1038">
        <v>14607.999999999996</v>
      </c>
      <c r="G165" s="1038">
        <v>15922.719999999998</v>
      </c>
      <c r="H165" s="1038">
        <v>15630.559999999998</v>
      </c>
      <c r="I165" s="1038">
        <v>14169.759999999998</v>
      </c>
      <c r="J165" s="1038">
        <v>24979.679999999993</v>
      </c>
      <c r="K165" s="1038">
        <v>16068.8</v>
      </c>
      <c r="L165" s="1038">
        <v>11102.079999999998</v>
      </c>
      <c r="M165" s="1038">
        <v>11102.079999999998</v>
      </c>
      <c r="N165" s="1038">
        <v>9203.0399999999991</v>
      </c>
      <c r="O165" s="1038">
        <v>8034.3999999999987</v>
      </c>
      <c r="P165" s="1038">
        <v>12855.039999999997</v>
      </c>
      <c r="S165"/>
      <c r="T165"/>
      <c r="U165"/>
      <c r="V165"/>
      <c r="W165"/>
      <c r="X165"/>
      <c r="Y165"/>
      <c r="Z165"/>
      <c r="AA165"/>
      <c r="AB165"/>
      <c r="AC165"/>
      <c r="AD165"/>
      <c r="AE165"/>
    </row>
    <row r="166" spans="2:31" ht="18" customHeight="1" thickTop="1" thickBot="1">
      <c r="B166" s="1141" t="s">
        <v>759</v>
      </c>
      <c r="C166" s="1047" t="s">
        <v>739</v>
      </c>
      <c r="D166" s="1048">
        <f>IFERROR(SUM(E166:P166),"")</f>
        <v>940049.32371545536</v>
      </c>
      <c r="E166" s="1048">
        <f>(E155-E157-E164)</f>
        <v>12675.458676796252</v>
      </c>
      <c r="F166" s="1048">
        <f t="shared" ref="F166:P166" si="93">(F155-F157-F164)</f>
        <v>64184.095373340591</v>
      </c>
      <c r="G166" s="1048">
        <f t="shared" si="93"/>
        <v>64463.165009827164</v>
      </c>
      <c r="H166" s="1048">
        <f t="shared" si="93"/>
        <v>65907.051324298911</v>
      </c>
      <c r="I166" s="1048">
        <f t="shared" si="93"/>
        <v>149520.70570488111</v>
      </c>
      <c r="J166" s="1048">
        <f t="shared" si="93"/>
        <v>42029.969138380926</v>
      </c>
      <c r="K166" s="1048">
        <f t="shared" si="93"/>
        <v>65703.592692490522</v>
      </c>
      <c r="L166" s="1048">
        <f t="shared" si="93"/>
        <v>107521.39798849801</v>
      </c>
      <c r="M166" s="1048">
        <f t="shared" si="93"/>
        <v>154322.10440273551</v>
      </c>
      <c r="N166" s="1048">
        <f t="shared" si="93"/>
        <v>49619.169205137754</v>
      </c>
      <c r="O166" s="1048">
        <f t="shared" si="93"/>
        <v>63474.940087111863</v>
      </c>
      <c r="P166" s="1048">
        <f t="shared" si="93"/>
        <v>100627.67411195676</v>
      </c>
      <c r="S166"/>
      <c r="T166"/>
      <c r="U166"/>
      <c r="V166"/>
      <c r="W166"/>
      <c r="X166"/>
      <c r="Y166"/>
      <c r="Z166"/>
      <c r="AA166"/>
      <c r="AB166"/>
      <c r="AC166"/>
      <c r="AD166"/>
      <c r="AE166"/>
    </row>
    <row r="167" spans="2:31" ht="18" customHeight="1" outlineLevel="1" thickTop="1">
      <c r="B167" s="1141" t="s">
        <v>759</v>
      </c>
      <c r="C167" s="1050"/>
      <c r="D167" s="1056">
        <f t="shared" ref="D167:P167" si="94">IFERROR(D166/D138,"")</f>
        <v>0.16424020427785088</v>
      </c>
      <c r="E167" s="1056">
        <f t="shared" si="94"/>
        <v>3.4165656810771571E-2</v>
      </c>
      <c r="F167" s="1056">
        <f t="shared" si="94"/>
        <v>0.11174111311514727</v>
      </c>
      <c r="G167" s="1056">
        <f t="shared" si="94"/>
        <v>0.10640997855699433</v>
      </c>
      <c r="H167" s="1056">
        <f t="shared" si="94"/>
        <v>0.10967691427194787</v>
      </c>
      <c r="I167" s="1056">
        <f t="shared" si="94"/>
        <v>0.27216263006458391</v>
      </c>
      <c r="J167" s="1056">
        <f t="shared" si="94"/>
        <v>7.6425781393339887E-2</v>
      </c>
      <c r="K167" s="1056">
        <f t="shared" si="94"/>
        <v>0.12248991926265944</v>
      </c>
      <c r="L167" s="1056">
        <f t="shared" si="94"/>
        <v>0.24569580455303233</v>
      </c>
      <c r="M167" s="1056">
        <f t="shared" si="94"/>
        <v>0.35236575121640218</v>
      </c>
      <c r="N167" s="1056">
        <f t="shared" si="94"/>
        <v>0.14587008820889508</v>
      </c>
      <c r="O167" s="1056">
        <f t="shared" si="94"/>
        <v>0.23379351781624996</v>
      </c>
      <c r="P167" s="1056">
        <f t="shared" si="94"/>
        <v>0.2243449282381878</v>
      </c>
      <c r="S167"/>
      <c r="T167"/>
      <c r="U167"/>
      <c r="V167"/>
      <c r="W167"/>
      <c r="X167"/>
      <c r="Y167"/>
      <c r="Z167"/>
      <c r="AA167"/>
      <c r="AB167"/>
      <c r="AC167"/>
      <c r="AD167"/>
      <c r="AE167"/>
    </row>
    <row r="168" spans="2:31" ht="18" customHeight="1">
      <c r="B168" s="1141" t="s">
        <v>759</v>
      </c>
      <c r="C168" s="1065" t="s">
        <v>728</v>
      </c>
      <c r="D168" s="1066">
        <f t="shared" ref="D168" si="95">IF(SUM(E168:P168)&gt;0,SUM(E168:P168),"")</f>
        <v>66824.710000000006</v>
      </c>
      <c r="E168" s="1067"/>
      <c r="F168" s="1067"/>
      <c r="G168" s="1067"/>
      <c r="H168" s="1067"/>
      <c r="I168" s="1067">
        <v>4640</v>
      </c>
      <c r="J168" s="1067">
        <v>3420.27</v>
      </c>
      <c r="K168" s="1067"/>
      <c r="L168" s="1067">
        <v>47495.040000000008</v>
      </c>
      <c r="M168" s="1067">
        <v>11269.4</v>
      </c>
      <c r="N168" s="1067"/>
      <c r="O168" s="1067"/>
      <c r="P168" s="1067"/>
      <c r="S168"/>
      <c r="T168"/>
      <c r="U168"/>
      <c r="V168"/>
      <c r="W168"/>
      <c r="X168"/>
      <c r="Y168"/>
      <c r="Z168"/>
      <c r="AA168"/>
      <c r="AB168"/>
      <c r="AC168"/>
      <c r="AD168"/>
      <c r="AE168"/>
    </row>
    <row r="169" spans="2:31" ht="18" customHeight="1">
      <c r="B169" s="1141" t="s">
        <v>759</v>
      </c>
      <c r="C169" s="1052" t="s">
        <v>742</v>
      </c>
      <c r="D169" s="1249">
        <f>SUMPRODUCT(E169:P169,E114:P114)/SUM(E114:P114)</f>
        <v>41.926979786632224</v>
      </c>
      <c r="E169" s="1250">
        <f>SUM(E170:E172)</f>
        <v>29.872547105263159</v>
      </c>
      <c r="F169" s="1250">
        <f>SUM(F170:F172)</f>
        <v>35.796391909090907</v>
      </c>
      <c r="G169" s="1250">
        <f t="shared" ref="G169:P169" si="96">SUM(G170:G172)</f>
        <v>27.444128855156251</v>
      </c>
      <c r="H169" s="1250">
        <f t="shared" si="96"/>
        <v>32.761773307692309</v>
      </c>
      <c r="I169" s="1250">
        <f t="shared" si="96"/>
        <v>41.571097835051546</v>
      </c>
      <c r="J169" s="1250">
        <f t="shared" si="96"/>
        <v>32.201488529411762</v>
      </c>
      <c r="K169" s="1250">
        <f t="shared" si="96"/>
        <v>65.642313833333333</v>
      </c>
      <c r="L169" s="1250">
        <f t="shared" si="96"/>
        <v>61.422381374999993</v>
      </c>
      <c r="M169" s="1250">
        <f t="shared" si="96"/>
        <v>48.327828312499996</v>
      </c>
      <c r="N169" s="1250">
        <f t="shared" si="96"/>
        <v>71.790893499999996</v>
      </c>
      <c r="O169" s="1250">
        <f t="shared" si="96"/>
        <v>38.27808377777778</v>
      </c>
      <c r="P169" s="1250">
        <f t="shared" si="96"/>
        <v>115.84357633333333</v>
      </c>
      <c r="S169"/>
      <c r="T169"/>
      <c r="U169"/>
      <c r="V169"/>
      <c r="W169"/>
      <c r="X169"/>
      <c r="Y169"/>
      <c r="Z169"/>
      <c r="AA169"/>
      <c r="AB169"/>
      <c r="AC169"/>
      <c r="AD169"/>
      <c r="AE169"/>
    </row>
    <row r="170" spans="2:31" ht="18" customHeight="1" outlineLevel="1">
      <c r="B170" s="1141" t="s">
        <v>759</v>
      </c>
      <c r="C170" s="1058" t="s">
        <v>794</v>
      </c>
      <c r="D170" s="1248">
        <f>SUMPRODUCT(E170:P170,E114:P114)/SUM(E114:P114)</f>
        <v>16.330487363636358</v>
      </c>
      <c r="E170" s="1251">
        <f t="shared" ref="E170:K170" si="97">SUM(E151:E154)/SUM(E114)</f>
        <v>12.690291654135338</v>
      </c>
      <c r="F170" s="1251">
        <f t="shared" si="97"/>
        <v>13.278472363636363</v>
      </c>
      <c r="G170" s="1251">
        <f t="shared" si="97"/>
        <v>11.1156094375</v>
      </c>
      <c r="H170" s="1251">
        <f t="shared" si="97"/>
        <v>12.887127153846153</v>
      </c>
      <c r="I170" s="1251">
        <f t="shared" si="97"/>
        <v>15.497831855670103</v>
      </c>
      <c r="J170" s="1251">
        <f t="shared" si="97"/>
        <v>13.63543588235294</v>
      </c>
      <c r="K170" s="1251">
        <f t="shared" si="97"/>
        <v>22.801546333333331</v>
      </c>
      <c r="L170" s="1251">
        <f t="shared" ref="L170:P170" si="98">SUM(L151:L154)/SUM(L114)</f>
        <v>27.694081374999996</v>
      </c>
      <c r="M170" s="1251">
        <f t="shared" si="98"/>
        <v>18.631933624999999</v>
      </c>
      <c r="N170" s="1251">
        <f t="shared" si="98"/>
        <v>33.492649571428565</v>
      </c>
      <c r="O170" s="1251">
        <f t="shared" si="98"/>
        <v>9.9544682222222214</v>
      </c>
      <c r="P170" s="1251">
        <f t="shared" si="98"/>
        <v>34.058318</v>
      </c>
      <c r="S170"/>
      <c r="T170"/>
      <c r="U170"/>
      <c r="V170"/>
      <c r="W170"/>
      <c r="X170"/>
      <c r="Y170"/>
      <c r="Z170"/>
      <c r="AA170"/>
      <c r="AB170"/>
      <c r="AC170"/>
      <c r="AD170"/>
      <c r="AE170"/>
    </row>
    <row r="171" spans="2:31" ht="18" customHeight="1" outlineLevel="1">
      <c r="B171" s="1141" t="s">
        <v>759</v>
      </c>
      <c r="C171" s="1058" t="s">
        <v>795</v>
      </c>
      <c r="D171" s="1248">
        <f>SUMPRODUCT(E171:P171,E114:P114)/SUM(E114:P114)</f>
        <v>18.853874241177685</v>
      </c>
      <c r="E171" s="1251">
        <f t="shared" ref="E171:J171" si="99">(E157/E114)</f>
        <v>13.612631390977445</v>
      </c>
      <c r="F171" s="1251">
        <f t="shared" si="99"/>
        <v>15.877919545454546</v>
      </c>
      <c r="G171" s="1251">
        <f t="shared" si="99"/>
        <v>11.352669417656248</v>
      </c>
      <c r="H171" s="1251">
        <f t="shared" si="99"/>
        <v>13.862892307692309</v>
      </c>
      <c r="I171" s="1251">
        <f t="shared" si="99"/>
        <v>18.769265979381444</v>
      </c>
      <c r="J171" s="1251">
        <f t="shared" si="99"/>
        <v>11.21908794117647</v>
      </c>
      <c r="K171" s="1251">
        <f t="shared" ref="K171:P171" si="100">(K157/K114)</f>
        <v>29.450100833333334</v>
      </c>
      <c r="L171" s="1251">
        <f t="shared" si="100"/>
        <v>26.789499999999997</v>
      </c>
      <c r="M171" s="1251">
        <f t="shared" si="100"/>
        <v>22.757094687499997</v>
      </c>
      <c r="N171" s="1251">
        <f t="shared" si="100"/>
        <v>31.724643928571428</v>
      </c>
      <c r="O171" s="1251">
        <f t="shared" si="100"/>
        <v>23.860060000000001</v>
      </c>
      <c r="P171" s="1251">
        <f t="shared" si="100"/>
        <v>60.360191666666672</v>
      </c>
      <c r="S171"/>
      <c r="T171"/>
      <c r="U171"/>
      <c r="V171"/>
      <c r="W171"/>
      <c r="X171"/>
      <c r="Y171"/>
      <c r="Z171"/>
      <c r="AA171"/>
      <c r="AB171"/>
      <c r="AC171"/>
      <c r="AD171"/>
      <c r="AE171"/>
    </row>
    <row r="172" spans="2:31" ht="18" customHeight="1" outlineLevel="1">
      <c r="B172" s="1141" t="s">
        <v>759</v>
      </c>
      <c r="C172" s="1058" t="s">
        <v>796</v>
      </c>
      <c r="D172" s="1248">
        <f>SUMPRODUCT(E172:P172,E114:P114)/SUM(E114:P114)</f>
        <v>6.7426181818181812</v>
      </c>
      <c r="E172" s="1251">
        <f>(E164/E114)</f>
        <v>3.5696240601503755</v>
      </c>
      <c r="F172" s="1251">
        <f t="shared" ref="F172:P172" si="101">(F164/F114)</f>
        <v>6.6399999999999979</v>
      </c>
      <c r="G172" s="1251">
        <f t="shared" si="101"/>
        <v>4.9758499999999994</v>
      </c>
      <c r="H172" s="1251">
        <f t="shared" si="101"/>
        <v>6.0117538461538453</v>
      </c>
      <c r="I172" s="1251">
        <f t="shared" si="101"/>
        <v>7.3039999999999994</v>
      </c>
      <c r="J172" s="1251">
        <f t="shared" si="101"/>
        <v>7.3469647058823506</v>
      </c>
      <c r="K172" s="1251">
        <f t="shared" si="101"/>
        <v>13.390666666666666</v>
      </c>
      <c r="L172" s="1251">
        <f t="shared" si="101"/>
        <v>6.9387999999999987</v>
      </c>
      <c r="M172" s="1251">
        <f t="shared" si="101"/>
        <v>6.9387999999999987</v>
      </c>
      <c r="N172" s="1251">
        <f t="shared" si="101"/>
        <v>6.573599999999999</v>
      </c>
      <c r="O172" s="1251">
        <f t="shared" si="101"/>
        <v>4.4635555555555548</v>
      </c>
      <c r="P172" s="1251">
        <f t="shared" si="101"/>
        <v>21.425066666666662</v>
      </c>
      <c r="S172"/>
      <c r="T172"/>
      <c r="U172"/>
      <c r="V172"/>
      <c r="W172"/>
      <c r="X172"/>
      <c r="Y172"/>
      <c r="Z172"/>
      <c r="AA172"/>
      <c r="AB172"/>
      <c r="AC172"/>
      <c r="AD172"/>
      <c r="AE172"/>
    </row>
    <row r="173" spans="2:31" ht="18" customHeight="1" outlineLevel="1">
      <c r="B173" s="1141" t="s">
        <v>759</v>
      </c>
      <c r="C173" s="1063" t="s">
        <v>797</v>
      </c>
      <c r="D173" s="1248">
        <f>SUMPRODUCT(E173:P173,E114:P114)/SUM(E114:P114)</f>
        <v>10.481744946658056</v>
      </c>
      <c r="E173" s="1046">
        <f>(E169*0.25)</f>
        <v>7.4681367763157898</v>
      </c>
      <c r="F173" s="1046">
        <f>(F169*0.25)</f>
        <v>8.9490979772727268</v>
      </c>
      <c r="G173" s="1046">
        <f>(G169*0.25)</f>
        <v>6.8610322137890627</v>
      </c>
      <c r="H173" s="1046">
        <f t="shared" ref="H173:P173" si="102">(H169*0.25)</f>
        <v>8.1904433269230772</v>
      </c>
      <c r="I173" s="1046">
        <f t="shared" si="102"/>
        <v>10.392774458762887</v>
      </c>
      <c r="J173" s="1046">
        <f t="shared" si="102"/>
        <v>8.0503721323529405</v>
      </c>
      <c r="K173" s="1046">
        <f t="shared" si="102"/>
        <v>16.410578458333333</v>
      </c>
      <c r="L173" s="1046">
        <f t="shared" si="102"/>
        <v>15.355595343749998</v>
      </c>
      <c r="M173" s="1046">
        <f t="shared" si="102"/>
        <v>12.081957078124999</v>
      </c>
      <c r="N173" s="1046">
        <f t="shared" si="102"/>
        <v>17.947723374999999</v>
      </c>
      <c r="O173" s="1046">
        <f t="shared" si="102"/>
        <v>9.5695209444444451</v>
      </c>
      <c r="P173" s="1046">
        <f t="shared" si="102"/>
        <v>28.960894083333333</v>
      </c>
      <c r="Q173" s="834"/>
      <c r="S173"/>
      <c r="T173"/>
      <c r="U173"/>
      <c r="V173"/>
      <c r="W173"/>
      <c r="X173"/>
      <c r="Y173"/>
      <c r="Z173"/>
      <c r="AA173"/>
      <c r="AB173"/>
      <c r="AC173"/>
      <c r="AD173"/>
      <c r="AE173"/>
    </row>
    <row r="174" spans="2:31" ht="18" customHeight="1" outlineLevel="1">
      <c r="B174" s="1141" t="s">
        <v>759</v>
      </c>
      <c r="C174" s="1063" t="s">
        <v>798</v>
      </c>
      <c r="D174" s="1248">
        <f>SUMPRODUCT(E174:P174,E114:P114)/SUM(E114:P114)</f>
        <v>20.963489893316112</v>
      </c>
      <c r="E174" s="1046">
        <f>(E169*0.5)</f>
        <v>14.93627355263158</v>
      </c>
      <c r="F174" s="1046">
        <f>(F169*0.5)</f>
        <v>17.898195954545454</v>
      </c>
      <c r="G174" s="1046">
        <f>(G169*0.5)</f>
        <v>13.722064427578125</v>
      </c>
      <c r="H174" s="1046">
        <f t="shared" ref="H174:P174" si="103">(H169*0.5)</f>
        <v>16.380886653846154</v>
      </c>
      <c r="I174" s="1046">
        <f>(I169*0.5)</f>
        <v>20.785548917525773</v>
      </c>
      <c r="J174" s="1046">
        <f t="shared" si="103"/>
        <v>16.100744264705881</v>
      </c>
      <c r="K174" s="1046">
        <f t="shared" si="103"/>
        <v>32.821156916666666</v>
      </c>
      <c r="L174" s="1046">
        <f t="shared" si="103"/>
        <v>30.711190687499997</v>
      </c>
      <c r="M174" s="1046">
        <f t="shared" si="103"/>
        <v>24.163914156249998</v>
      </c>
      <c r="N174" s="1046">
        <f t="shared" si="103"/>
        <v>35.895446749999998</v>
      </c>
      <c r="O174" s="1046">
        <f t="shared" si="103"/>
        <v>19.13904188888889</v>
      </c>
      <c r="P174" s="1046">
        <f t="shared" si="103"/>
        <v>57.921788166666666</v>
      </c>
      <c r="Q174" s="834"/>
      <c r="S174"/>
      <c r="T174"/>
      <c r="U174"/>
      <c r="V174"/>
      <c r="W174"/>
      <c r="X174"/>
      <c r="Y174"/>
      <c r="Z174"/>
      <c r="AA174"/>
      <c r="AB174"/>
      <c r="AC174"/>
      <c r="AD174"/>
      <c r="AE174"/>
    </row>
    <row r="175" spans="2:31" ht="18" customHeight="1" outlineLevel="1">
      <c r="B175" s="1141" t="s">
        <v>759</v>
      </c>
      <c r="C175" s="1063" t="s">
        <v>799</v>
      </c>
      <c r="D175" s="1248">
        <f>SUMPRODUCT(E175:P175,E114:P114)/SUM(E114:P114)</f>
        <v>9.643205350925415</v>
      </c>
      <c r="E175" s="1046">
        <f>(E169*0.23)</f>
        <v>6.8706858342105273</v>
      </c>
      <c r="F175" s="1046">
        <f>(F169*0.23)</f>
        <v>8.2331701390909089</v>
      </c>
      <c r="G175" s="1046">
        <f t="shared" ref="G175:P175" si="104">(G169*0.23)</f>
        <v>6.3121496366859375</v>
      </c>
      <c r="H175" s="1046">
        <f>(H169*0.23)</f>
        <v>7.5352078607692317</v>
      </c>
      <c r="I175" s="1046">
        <f t="shared" si="104"/>
        <v>9.5613525020618564</v>
      </c>
      <c r="J175" s="1046">
        <f t="shared" si="104"/>
        <v>7.4063423617647057</v>
      </c>
      <c r="K175" s="1046">
        <f t="shared" si="104"/>
        <v>15.097732181666666</v>
      </c>
      <c r="L175" s="1046">
        <f t="shared" si="104"/>
        <v>14.127147716249999</v>
      </c>
      <c r="M175" s="1046">
        <f t="shared" si="104"/>
        <v>11.115400511875</v>
      </c>
      <c r="N175" s="1046">
        <f t="shared" si="104"/>
        <v>16.511905505000001</v>
      </c>
      <c r="O175" s="1046">
        <f t="shared" si="104"/>
        <v>8.8039592688888906</v>
      </c>
      <c r="P175" s="1046">
        <f t="shared" si="104"/>
        <v>26.644022556666666</v>
      </c>
      <c r="Q175" s="834"/>
      <c r="S175"/>
      <c r="T175"/>
      <c r="U175"/>
      <c r="V175"/>
      <c r="W175"/>
      <c r="X175"/>
      <c r="Y175"/>
      <c r="Z175"/>
      <c r="AA175"/>
      <c r="AB175"/>
      <c r="AC175"/>
      <c r="AD175"/>
      <c r="AE175"/>
    </row>
    <row r="176" spans="2:31" ht="18" customHeight="1" outlineLevel="1">
      <c r="B176" s="1141" t="s">
        <v>759</v>
      </c>
      <c r="C176" s="1063" t="s">
        <v>800</v>
      </c>
      <c r="D176" s="1248">
        <f>SUMPRODUCT(E176:P176,E114:P114)/SUM(E114:P114)</f>
        <v>0.83853959573264469</v>
      </c>
      <c r="E176" s="1046">
        <f>(E169*0.02)</f>
        <v>0.59745094210526317</v>
      </c>
      <c r="F176" s="1046">
        <f>(F169*0.02)</f>
        <v>0.71592783818181815</v>
      </c>
      <c r="G176" s="1046">
        <f t="shared" ref="G176:P176" si="105">(G169*0.02)</f>
        <v>0.54888257710312505</v>
      </c>
      <c r="H176" s="1046">
        <f t="shared" si="105"/>
        <v>0.6552354661538462</v>
      </c>
      <c r="I176" s="1046">
        <f t="shared" si="105"/>
        <v>0.83142195670103092</v>
      </c>
      <c r="J176" s="1046">
        <f t="shared" si="105"/>
        <v>0.6440297705882353</v>
      </c>
      <c r="K176" s="1046">
        <f t="shared" si="105"/>
        <v>1.3128462766666666</v>
      </c>
      <c r="L176" s="1046">
        <f t="shared" si="105"/>
        <v>1.2284476274999998</v>
      </c>
      <c r="M176" s="1046">
        <f t="shared" si="105"/>
        <v>0.96655656624999997</v>
      </c>
      <c r="N176" s="1046">
        <f t="shared" si="105"/>
        <v>1.4358178699999999</v>
      </c>
      <c r="O176" s="1046">
        <f t="shared" si="105"/>
        <v>0.76556167555555565</v>
      </c>
      <c r="P176" s="1046">
        <f t="shared" si="105"/>
        <v>2.3168715266666666</v>
      </c>
      <c r="Q176" s="834"/>
      <c r="S176"/>
      <c r="T176"/>
      <c r="U176"/>
      <c r="V176"/>
      <c r="W176"/>
      <c r="X176"/>
      <c r="Y176"/>
      <c r="Z176"/>
      <c r="AA176"/>
      <c r="AB176"/>
      <c r="AC176"/>
      <c r="AD176"/>
      <c r="AE176"/>
    </row>
    <row r="177" spans="2:32" ht="18" customHeight="1">
      <c r="S177"/>
      <c r="T177"/>
      <c r="U177"/>
      <c r="V177"/>
      <c r="W177"/>
      <c r="X177"/>
      <c r="Y177"/>
      <c r="Z177"/>
      <c r="AA177"/>
      <c r="AB177"/>
      <c r="AC177"/>
      <c r="AD177"/>
      <c r="AE177"/>
    </row>
    <row r="178" spans="2:32" s="1294" customFormat="1" ht="18" customHeight="1">
      <c r="B178" s="1356" t="s">
        <v>817</v>
      </c>
      <c r="C178" s="1344" t="s">
        <v>731</v>
      </c>
      <c r="D178" s="1032">
        <f>IFERROR(SUM(D179:D183),"")</f>
        <v>1469500</v>
      </c>
      <c r="E178" s="1032">
        <f>SUM(E179:E183)</f>
        <v>236400</v>
      </c>
      <c r="F178" s="1032">
        <f>SUM(F179:F183)</f>
        <v>57100</v>
      </c>
      <c r="G178" s="1032">
        <f>SUM(G179:G183)</f>
        <v>70000</v>
      </c>
      <c r="H178" s="1032">
        <f>SUM(H179:H183)</f>
        <v>103000</v>
      </c>
      <c r="I178" s="1032">
        <f t="shared" ref="I178:P178" si="106">SUM(I179:I183)</f>
        <v>274000</v>
      </c>
      <c r="J178" s="1032">
        <f t="shared" si="106"/>
        <v>44000</v>
      </c>
      <c r="K178" s="1032">
        <f t="shared" si="106"/>
        <v>152200</v>
      </c>
      <c r="L178" s="1032">
        <f t="shared" si="106"/>
        <v>98000</v>
      </c>
      <c r="M178" s="1032">
        <f t="shared" si="106"/>
        <v>54000</v>
      </c>
      <c r="N178" s="1032">
        <f t="shared" si="106"/>
        <v>48000</v>
      </c>
      <c r="O178" s="1032">
        <f t="shared" si="106"/>
        <v>181000</v>
      </c>
      <c r="P178" s="1032">
        <f t="shared" si="106"/>
        <v>151800</v>
      </c>
      <c r="R178"/>
      <c r="S178"/>
      <c r="T178"/>
      <c r="U178"/>
      <c r="V178"/>
      <c r="W178"/>
      <c r="X178"/>
      <c r="Y178"/>
      <c r="Z178"/>
      <c r="AA178"/>
      <c r="AB178"/>
      <c r="AC178"/>
      <c r="AD178"/>
      <c r="AE178"/>
      <c r="AF178"/>
    </row>
    <row r="179" spans="2:32" s="790" customFormat="1" ht="18" customHeight="1" outlineLevel="1">
      <c r="B179" s="1142" t="s">
        <v>817</v>
      </c>
      <c r="C179" s="1084" t="s">
        <v>818</v>
      </c>
      <c r="D179" s="1062">
        <f t="shared" ref="D179:D181" si="107">IFERROR(SUM(E179:P179),"")</f>
        <v>37500</v>
      </c>
      <c r="E179" s="1062">
        <v>7400</v>
      </c>
      <c r="F179" s="1062">
        <v>3100</v>
      </c>
      <c r="G179" s="1062">
        <v>6000</v>
      </c>
      <c r="H179" s="1062">
        <v>2000</v>
      </c>
      <c r="I179" s="1062">
        <v>2000</v>
      </c>
      <c r="J179" s="1062">
        <v>6000</v>
      </c>
      <c r="K179" s="1062">
        <v>3000</v>
      </c>
      <c r="L179" s="1062">
        <v>2000</v>
      </c>
      <c r="M179" s="1062"/>
      <c r="N179" s="1062"/>
      <c r="O179" s="1062">
        <v>6000</v>
      </c>
      <c r="P179" s="1062"/>
      <c r="R179"/>
      <c r="S179"/>
      <c r="T179"/>
      <c r="U179"/>
      <c r="V179"/>
      <c r="W179"/>
      <c r="X179"/>
      <c r="Y179"/>
      <c r="Z179"/>
      <c r="AA179"/>
      <c r="AB179"/>
      <c r="AC179"/>
      <c r="AD179"/>
      <c r="AE179"/>
      <c r="AF179"/>
    </row>
    <row r="180" spans="2:32" s="790" customFormat="1" ht="18" customHeight="1" outlineLevel="1">
      <c r="B180" s="1142" t="s">
        <v>817</v>
      </c>
      <c r="C180" s="1063" t="s">
        <v>821</v>
      </c>
      <c r="D180" s="1064">
        <f t="shared" si="107"/>
        <v>282000</v>
      </c>
      <c r="E180" s="1064">
        <v>20000</v>
      </c>
      <c r="F180" s="1064"/>
      <c r="G180" s="1064">
        <v>14000</v>
      </c>
      <c r="H180" s="1064">
        <v>28000</v>
      </c>
      <c r="I180" s="1064">
        <v>34000</v>
      </c>
      <c r="J180" s="1064">
        <v>35000</v>
      </c>
      <c r="K180" s="1064">
        <v>46000</v>
      </c>
      <c r="L180" s="1064">
        <v>45000</v>
      </c>
      <c r="M180" s="1064">
        <v>30000</v>
      </c>
      <c r="N180" s="1064">
        <v>10000</v>
      </c>
      <c r="O180" s="1064">
        <v>10000</v>
      </c>
      <c r="P180" s="1064">
        <v>10000</v>
      </c>
      <c r="R180"/>
      <c r="S180"/>
      <c r="T180"/>
      <c r="U180"/>
      <c r="V180"/>
      <c r="W180"/>
      <c r="X180"/>
      <c r="Y180"/>
      <c r="Z180"/>
      <c r="AA180"/>
      <c r="AB180"/>
      <c r="AC180"/>
      <c r="AD180"/>
      <c r="AE180"/>
      <c r="AF180"/>
    </row>
    <row r="181" spans="2:32" s="790" customFormat="1" ht="18" customHeight="1" outlineLevel="1">
      <c r="B181" s="1142" t="s">
        <v>817</v>
      </c>
      <c r="C181" s="1063" t="s">
        <v>819</v>
      </c>
      <c r="D181" s="1064">
        <f t="shared" si="107"/>
        <v>850000</v>
      </c>
      <c r="E181" s="1064">
        <v>188000</v>
      </c>
      <c r="F181" s="1064"/>
      <c r="G181" s="1064"/>
      <c r="H181" s="1064"/>
      <c r="I181" s="1064">
        <v>192000</v>
      </c>
      <c r="J181" s="1064"/>
      <c r="K181" s="1064">
        <v>99200</v>
      </c>
      <c r="L181" s="1064">
        <v>20000</v>
      </c>
      <c r="M181" s="1064">
        <v>6000</v>
      </c>
      <c r="N181" s="1064">
        <v>38000</v>
      </c>
      <c r="O181" s="1064">
        <v>165000</v>
      </c>
      <c r="P181" s="1064">
        <f>50000+80000+11800</f>
        <v>141800</v>
      </c>
      <c r="R181"/>
      <c r="S181"/>
      <c r="T181"/>
      <c r="U181"/>
      <c r="V181"/>
      <c r="W181"/>
      <c r="X181"/>
      <c r="Y181"/>
      <c r="Z181"/>
      <c r="AA181"/>
      <c r="AB181"/>
      <c r="AC181"/>
      <c r="AD181"/>
      <c r="AE181"/>
      <c r="AF181"/>
    </row>
    <row r="182" spans="2:32" s="790" customFormat="1" ht="18" customHeight="1" outlineLevel="1">
      <c r="B182" s="1142" t="s">
        <v>817</v>
      </c>
      <c r="C182" s="1063" t="s">
        <v>820</v>
      </c>
      <c r="D182" s="1064">
        <f>IFERROR(SUM(E182:P182),"")</f>
        <v>143000</v>
      </c>
      <c r="E182" s="1064">
        <v>21000</v>
      </c>
      <c r="F182" s="1064">
        <v>54000</v>
      </c>
      <c r="G182" s="1064"/>
      <c r="H182" s="1064">
        <v>12000</v>
      </c>
      <c r="I182" s="1064"/>
      <c r="J182" s="1064">
        <v>3000</v>
      </c>
      <c r="K182" s="1064">
        <v>4000</v>
      </c>
      <c r="L182" s="1064">
        <v>31000</v>
      </c>
      <c r="M182" s="1064">
        <v>18000</v>
      </c>
      <c r="N182" s="1064"/>
      <c r="O182" s="1064"/>
      <c r="P182" s="1064"/>
      <c r="R182"/>
      <c r="S182"/>
      <c r="T182"/>
      <c r="U182"/>
      <c r="V182"/>
      <c r="W182"/>
      <c r="X182"/>
      <c r="Y182"/>
      <c r="Z182"/>
      <c r="AA182"/>
      <c r="AB182"/>
      <c r="AC182"/>
      <c r="AD182"/>
      <c r="AE182"/>
      <c r="AF182"/>
    </row>
    <row r="183" spans="2:32" s="790" customFormat="1" ht="18" customHeight="1" outlineLevel="1">
      <c r="B183" s="1142" t="s">
        <v>817</v>
      </c>
      <c r="C183" s="1085" t="s">
        <v>822</v>
      </c>
      <c r="D183" s="1064">
        <f>IFERROR(SUM(E183:P183),"")</f>
        <v>157000</v>
      </c>
      <c r="E183" s="1064"/>
      <c r="F183" s="1064"/>
      <c r="G183" s="1064">
        <v>50000</v>
      </c>
      <c r="H183" s="1064">
        <v>61000</v>
      </c>
      <c r="I183" s="1064">
        <v>46000</v>
      </c>
      <c r="J183" s="1064"/>
      <c r="K183" s="1064"/>
      <c r="L183" s="1064"/>
      <c r="M183" s="1064"/>
      <c r="N183" s="1064"/>
      <c r="O183" s="1064"/>
      <c r="P183" s="1064"/>
      <c r="R183"/>
      <c r="S183"/>
      <c r="T183"/>
      <c r="U183"/>
      <c r="V183"/>
      <c r="W183"/>
      <c r="X183"/>
      <c r="Y183"/>
      <c r="Z183"/>
      <c r="AA183"/>
      <c r="AB183"/>
      <c r="AC183"/>
      <c r="AD183"/>
      <c r="AE183"/>
      <c r="AF183"/>
    </row>
    <row r="184" spans="2:32" s="1294" customFormat="1" ht="18" customHeight="1">
      <c r="B184" s="1356" t="s">
        <v>817</v>
      </c>
      <c r="C184" s="1345" t="s">
        <v>732</v>
      </c>
      <c r="D184" s="1034">
        <f>IFERROR((SUM(D185:D187)+SUM(D189:D191)),"")</f>
        <v>1235594.375</v>
      </c>
      <c r="E184" s="1091">
        <f>SUM(E185:E187)+SUM(E189:E191)</f>
        <v>87936.25</v>
      </c>
      <c r="F184" s="1091">
        <f t="shared" ref="F184:P184" si="108">SUM(F185:F187)+SUM(F189:F191)</f>
        <v>4343.125</v>
      </c>
      <c r="G184" s="1091">
        <f t="shared" si="108"/>
        <v>107390</v>
      </c>
      <c r="H184" s="1091">
        <f t="shared" si="108"/>
        <v>66300</v>
      </c>
      <c r="I184" s="1091">
        <f t="shared" si="108"/>
        <v>175090</v>
      </c>
      <c r="J184" s="1091">
        <f t="shared" si="108"/>
        <v>279000</v>
      </c>
      <c r="K184" s="1091">
        <f t="shared" si="108"/>
        <v>126375</v>
      </c>
      <c r="L184" s="1091">
        <f t="shared" si="108"/>
        <v>74240</v>
      </c>
      <c r="M184" s="1091">
        <f t="shared" si="108"/>
        <v>73890</v>
      </c>
      <c r="N184" s="1091">
        <f t="shared" si="108"/>
        <v>64110</v>
      </c>
      <c r="O184" s="1091">
        <f t="shared" si="108"/>
        <v>33430</v>
      </c>
      <c r="P184" s="1091">
        <f t="shared" si="108"/>
        <v>143490</v>
      </c>
      <c r="Q184" s="1357"/>
      <c r="R184"/>
      <c r="S184"/>
      <c r="T184"/>
      <c r="U184"/>
      <c r="V184"/>
      <c r="W184"/>
      <c r="X184"/>
      <c r="Y184"/>
      <c r="Z184"/>
      <c r="AA184"/>
      <c r="AB184"/>
      <c r="AC184"/>
      <c r="AD184"/>
      <c r="AE184"/>
      <c r="AF184"/>
    </row>
    <row r="185" spans="2:32" ht="18" customHeight="1" outlineLevel="1">
      <c r="B185" s="1142" t="s">
        <v>817</v>
      </c>
      <c r="C185" s="1084" t="s">
        <v>823</v>
      </c>
      <c r="D185" s="674">
        <f t="shared" ref="D185:D191" si="109">IFERROR(SUM(E185:P185),"")</f>
        <v>14700</v>
      </c>
      <c r="E185" s="82"/>
      <c r="F185" s="82"/>
      <c r="G185" s="82">
        <v>4160</v>
      </c>
      <c r="H185" s="82"/>
      <c r="I185" s="82"/>
      <c r="J185" s="82">
        <v>2200</v>
      </c>
      <c r="K185" s="82">
        <v>2000</v>
      </c>
      <c r="L185" s="82">
        <v>2340</v>
      </c>
      <c r="M185" s="82"/>
      <c r="N185" s="82"/>
      <c r="O185" s="82">
        <v>4000</v>
      </c>
      <c r="P185" s="82"/>
      <c r="Q185" s="1121"/>
      <c r="S185"/>
      <c r="T185"/>
      <c r="U185"/>
      <c r="V185"/>
      <c r="W185"/>
      <c r="X185"/>
      <c r="Y185"/>
      <c r="Z185"/>
      <c r="AA185"/>
      <c r="AB185"/>
      <c r="AC185"/>
      <c r="AD185"/>
      <c r="AE185"/>
    </row>
    <row r="186" spans="2:32" ht="18" customHeight="1" outlineLevel="1">
      <c r="B186" s="1142" t="s">
        <v>817</v>
      </c>
      <c r="C186" s="1063" t="s">
        <v>824</v>
      </c>
      <c r="D186" s="674">
        <f t="shared" si="109"/>
        <v>20560</v>
      </c>
      <c r="E186" s="82">
        <v>6600</v>
      </c>
      <c r="F186" s="82">
        <v>2800</v>
      </c>
      <c r="G186" s="82">
        <v>3000</v>
      </c>
      <c r="H186" s="82">
        <v>800</v>
      </c>
      <c r="I186" s="82">
        <v>3000</v>
      </c>
      <c r="J186" s="82">
        <v>2020</v>
      </c>
      <c r="K186" s="82"/>
      <c r="L186" s="82">
        <v>800</v>
      </c>
      <c r="M186" s="82">
        <v>120</v>
      </c>
      <c r="N186" s="82">
        <v>1220</v>
      </c>
      <c r="O186" s="82">
        <f>480-380</f>
        <v>100</v>
      </c>
      <c r="P186" s="82">
        <f>1020-920</f>
        <v>100</v>
      </c>
      <c r="Q186" s="1122"/>
      <c r="S186"/>
      <c r="T186"/>
      <c r="U186"/>
      <c r="V186"/>
      <c r="W186"/>
      <c r="X186"/>
      <c r="Y186"/>
      <c r="Z186"/>
      <c r="AA186"/>
      <c r="AB186"/>
      <c r="AC186"/>
      <c r="AD186"/>
      <c r="AE186"/>
    </row>
    <row r="187" spans="2:32" ht="18" customHeight="1" outlineLevel="1">
      <c r="B187" s="1142" t="s">
        <v>817</v>
      </c>
      <c r="C187" s="1063" t="s">
        <v>825</v>
      </c>
      <c r="D187" s="1119">
        <f t="shared" si="109"/>
        <v>241004.375</v>
      </c>
      <c r="E187" s="82">
        <v>1906.25</v>
      </c>
      <c r="F187" s="82">
        <v>1543.125</v>
      </c>
      <c r="G187" s="82">
        <v>8000</v>
      </c>
      <c r="H187" s="82">
        <v>10000</v>
      </c>
      <c r="I187" s="82">
        <v>56000</v>
      </c>
      <c r="J187" s="82">
        <v>30000</v>
      </c>
      <c r="K187" s="82">
        <v>41535</v>
      </c>
      <c r="L187" s="82">
        <v>35500</v>
      </c>
      <c r="M187" s="82">
        <v>40400</v>
      </c>
      <c r="N187" s="82">
        <v>15880</v>
      </c>
      <c r="O187" s="82"/>
      <c r="P187" s="82">
        <v>240</v>
      </c>
      <c r="Q187" s="1122"/>
      <c r="S187"/>
      <c r="T187"/>
      <c r="U187"/>
      <c r="V187"/>
      <c r="W187"/>
      <c r="X187"/>
      <c r="Y187"/>
      <c r="Z187"/>
      <c r="AA187"/>
      <c r="AB187"/>
      <c r="AC187"/>
      <c r="AD187"/>
      <c r="AE187"/>
    </row>
    <row r="188" spans="2:32" ht="18" customHeight="1" outlineLevel="1">
      <c r="B188" s="1142" t="s">
        <v>817</v>
      </c>
      <c r="C188" s="1063" t="s">
        <v>829</v>
      </c>
      <c r="D188" s="1119">
        <f t="shared" si="109"/>
        <v>10282.5</v>
      </c>
      <c r="E188" s="82">
        <v>1125</v>
      </c>
      <c r="F188" s="82">
        <v>1162.5</v>
      </c>
      <c r="G188" s="82">
        <v>2250</v>
      </c>
      <c r="H188" s="82">
        <v>750</v>
      </c>
      <c r="I188" s="82">
        <v>750</v>
      </c>
      <c r="J188" s="82">
        <v>2250</v>
      </c>
      <c r="K188" s="82">
        <v>1125</v>
      </c>
      <c r="L188" s="82">
        <v>750</v>
      </c>
      <c r="M188" s="82"/>
      <c r="N188" s="82">
        <v>80</v>
      </c>
      <c r="O188" s="82">
        <v>20</v>
      </c>
      <c r="P188" s="82">
        <v>20</v>
      </c>
      <c r="Q188" s="1122"/>
      <c r="S188"/>
      <c r="T188"/>
      <c r="U188"/>
      <c r="V188"/>
      <c r="W188"/>
      <c r="X188"/>
      <c r="Y188"/>
      <c r="Z188"/>
      <c r="AA188"/>
      <c r="AB188"/>
      <c r="AC188"/>
      <c r="AD188"/>
      <c r="AE188"/>
    </row>
    <row r="189" spans="2:32" ht="18" customHeight="1" outlineLevel="1">
      <c r="B189" s="1142" t="s">
        <v>817</v>
      </c>
      <c r="C189" s="1063" t="s">
        <v>826</v>
      </c>
      <c r="D189" s="1119">
        <f t="shared" si="109"/>
        <v>708030</v>
      </c>
      <c r="E189" s="82">
        <v>79430</v>
      </c>
      <c r="F189" s="82"/>
      <c r="G189" s="82">
        <v>44090</v>
      </c>
      <c r="H189" s="82"/>
      <c r="I189" s="82">
        <v>64090</v>
      </c>
      <c r="J189" s="82">
        <v>190840</v>
      </c>
      <c r="K189" s="82">
        <v>68820</v>
      </c>
      <c r="L189" s="82">
        <v>22740</v>
      </c>
      <c r="M189" s="82">
        <v>32570</v>
      </c>
      <c r="N189" s="82">
        <v>34690</v>
      </c>
      <c r="O189" s="82">
        <v>29290</v>
      </c>
      <c r="P189" s="82">
        <v>141470</v>
      </c>
      <c r="Q189" s="1122"/>
      <c r="S189"/>
      <c r="T189"/>
      <c r="U189"/>
      <c r="V189"/>
      <c r="W189"/>
      <c r="X189"/>
      <c r="Y189"/>
      <c r="Z189"/>
      <c r="AA189"/>
      <c r="AB189"/>
      <c r="AC189"/>
      <c r="AD189"/>
      <c r="AE189"/>
    </row>
    <row r="190" spans="2:32" ht="18" customHeight="1" outlineLevel="1">
      <c r="B190" s="1142" t="s">
        <v>817</v>
      </c>
      <c r="C190" s="1063" t="s">
        <v>827</v>
      </c>
      <c r="D190" s="1119">
        <f t="shared" si="109"/>
        <v>94300</v>
      </c>
      <c r="E190" s="82"/>
      <c r="F190" s="82"/>
      <c r="G190" s="82"/>
      <c r="H190" s="82"/>
      <c r="I190" s="82">
        <v>8000</v>
      </c>
      <c r="J190" s="82">
        <v>44580</v>
      </c>
      <c r="K190" s="82">
        <v>14020</v>
      </c>
      <c r="L190" s="82">
        <v>12860</v>
      </c>
      <c r="M190" s="82">
        <v>800</v>
      </c>
      <c r="N190" s="82">
        <v>12320</v>
      </c>
      <c r="O190" s="82">
        <v>40</v>
      </c>
      <c r="P190" s="82">
        <v>1680</v>
      </c>
      <c r="Q190" s="1122"/>
      <c r="S190"/>
      <c r="T190"/>
      <c r="U190"/>
      <c r="V190"/>
      <c r="W190"/>
      <c r="X190"/>
      <c r="Y190"/>
      <c r="Z190"/>
      <c r="AA190"/>
      <c r="AB190"/>
      <c r="AC190"/>
      <c r="AD190"/>
      <c r="AE190"/>
    </row>
    <row r="191" spans="2:32" ht="18" customHeight="1" outlineLevel="1">
      <c r="B191" s="1142" t="s">
        <v>817</v>
      </c>
      <c r="C191" s="1063" t="s">
        <v>828</v>
      </c>
      <c r="D191" s="674">
        <f t="shared" si="109"/>
        <v>157000</v>
      </c>
      <c r="E191" s="82"/>
      <c r="F191" s="82"/>
      <c r="G191" s="82">
        <v>48140</v>
      </c>
      <c r="H191" s="82">
        <v>55500</v>
      </c>
      <c r="I191" s="82">
        <v>44000</v>
      </c>
      <c r="J191" s="82">
        <v>9360</v>
      </c>
      <c r="K191" s="82"/>
      <c r="L191" s="82"/>
      <c r="M191" s="82"/>
      <c r="N191" s="82"/>
      <c r="O191" s="82"/>
      <c r="P191" s="82"/>
      <c r="Q191" s="1121"/>
      <c r="S191"/>
      <c r="T191"/>
      <c r="U191"/>
      <c r="V191"/>
      <c r="W191"/>
      <c r="X191"/>
      <c r="Y191"/>
      <c r="Z191"/>
      <c r="AA191"/>
      <c r="AB191"/>
      <c r="AC191"/>
      <c r="AD191"/>
      <c r="AE191"/>
    </row>
    <row r="192" spans="2:32" ht="18" customHeight="1" outlineLevel="1">
      <c r="B192" s="1142" t="s">
        <v>817</v>
      </c>
      <c r="C192" s="1086" t="s">
        <v>830</v>
      </c>
      <c r="D192" s="480">
        <f t="shared" ref="D192:D196" si="110">IFERROR(AVERAGE(E192:P192),"")</f>
        <v>80</v>
      </c>
      <c r="E192" s="480">
        <v>80</v>
      </c>
      <c r="F192" s="480">
        <v>80</v>
      </c>
      <c r="G192" s="480">
        <v>80</v>
      </c>
      <c r="H192" s="480">
        <v>80</v>
      </c>
      <c r="I192" s="480">
        <v>80</v>
      </c>
      <c r="J192" s="480">
        <v>80</v>
      </c>
      <c r="K192" s="480">
        <v>80</v>
      </c>
      <c r="L192" s="480">
        <v>80</v>
      </c>
      <c r="M192" s="480">
        <v>80</v>
      </c>
      <c r="N192" s="480">
        <v>80</v>
      </c>
      <c r="O192" s="480">
        <v>80</v>
      </c>
      <c r="P192" s="480">
        <v>80</v>
      </c>
      <c r="S192"/>
      <c r="T192"/>
      <c r="U192"/>
      <c r="V192"/>
      <c r="W192"/>
      <c r="X192"/>
      <c r="Y192"/>
      <c r="Z192"/>
      <c r="AA192"/>
      <c r="AB192"/>
      <c r="AC192"/>
      <c r="AD192"/>
      <c r="AE192"/>
    </row>
    <row r="193" spans="2:32" ht="18" customHeight="1" outlineLevel="1">
      <c r="B193" s="1142" t="s">
        <v>817</v>
      </c>
      <c r="C193" s="1086" t="s">
        <v>831</v>
      </c>
      <c r="D193" s="480">
        <f t="shared" si="110"/>
        <v>40</v>
      </c>
      <c r="E193" s="480">
        <v>40</v>
      </c>
      <c r="F193" s="480">
        <v>40</v>
      </c>
      <c r="G193" s="480">
        <v>40</v>
      </c>
      <c r="H193" s="480">
        <v>40</v>
      </c>
      <c r="I193" s="480">
        <v>40</v>
      </c>
      <c r="J193" s="480">
        <v>40</v>
      </c>
      <c r="K193" s="480">
        <v>40</v>
      </c>
      <c r="L193" s="480">
        <v>40</v>
      </c>
      <c r="M193" s="480">
        <v>40</v>
      </c>
      <c r="N193" s="480">
        <v>40</v>
      </c>
      <c r="O193" s="480">
        <v>40</v>
      </c>
      <c r="P193" s="480">
        <v>40</v>
      </c>
      <c r="S193"/>
      <c r="T193"/>
      <c r="U193"/>
      <c r="V193"/>
      <c r="W193"/>
      <c r="X193"/>
      <c r="Y193"/>
      <c r="Z193"/>
      <c r="AA193"/>
      <c r="AB193"/>
      <c r="AC193"/>
      <c r="AD193"/>
      <c r="AE193"/>
    </row>
    <row r="194" spans="2:32" ht="18" customHeight="1" outlineLevel="1">
      <c r="B194" s="1142" t="s">
        <v>817</v>
      </c>
      <c r="C194" s="158" t="s">
        <v>832</v>
      </c>
      <c r="D194" s="480">
        <f t="shared" si="110"/>
        <v>1.1999999999999997</v>
      </c>
      <c r="E194" s="480">
        <v>1.2</v>
      </c>
      <c r="F194" s="480">
        <v>1.2</v>
      </c>
      <c r="G194" s="480">
        <v>1.2</v>
      </c>
      <c r="H194" s="480">
        <v>1.2</v>
      </c>
      <c r="I194" s="480">
        <v>1.2</v>
      </c>
      <c r="J194" s="480">
        <v>1.2</v>
      </c>
      <c r="K194" s="480">
        <v>1.2</v>
      </c>
      <c r="L194" s="480">
        <v>1.2</v>
      </c>
      <c r="M194" s="480">
        <v>1.2</v>
      </c>
      <c r="N194" s="480">
        <v>1.2</v>
      </c>
      <c r="O194" s="480">
        <v>1.2</v>
      </c>
      <c r="P194" s="480">
        <v>1.2</v>
      </c>
      <c r="S194"/>
      <c r="T194"/>
      <c r="U194"/>
      <c r="V194"/>
      <c r="W194"/>
      <c r="X194"/>
      <c r="Y194"/>
      <c r="Z194"/>
      <c r="AA194"/>
      <c r="AB194"/>
      <c r="AC194"/>
      <c r="AD194"/>
      <c r="AE194"/>
    </row>
    <row r="195" spans="2:32" ht="18" customHeight="1" outlineLevel="1">
      <c r="B195" s="1142" t="s">
        <v>817</v>
      </c>
      <c r="C195" s="158" t="s">
        <v>833</v>
      </c>
      <c r="D195" s="480">
        <f t="shared" si="110"/>
        <v>2</v>
      </c>
      <c r="E195" s="480">
        <v>2</v>
      </c>
      <c r="F195" s="480">
        <v>2</v>
      </c>
      <c r="G195" s="480">
        <v>2</v>
      </c>
      <c r="H195" s="480">
        <v>2</v>
      </c>
      <c r="I195" s="480">
        <v>2</v>
      </c>
      <c r="J195" s="480">
        <v>2</v>
      </c>
      <c r="K195" s="480">
        <v>2</v>
      </c>
      <c r="L195" s="480">
        <v>2</v>
      </c>
      <c r="M195" s="480">
        <v>2</v>
      </c>
      <c r="N195" s="480">
        <v>2</v>
      </c>
      <c r="O195" s="480">
        <v>2</v>
      </c>
      <c r="P195" s="480">
        <v>2</v>
      </c>
      <c r="S195"/>
      <c r="T195"/>
      <c r="U195"/>
      <c r="V195"/>
      <c r="W195"/>
      <c r="X195"/>
      <c r="Y195"/>
      <c r="Z195"/>
      <c r="AA195"/>
      <c r="AB195"/>
      <c r="AC195"/>
      <c r="AD195"/>
      <c r="AE195"/>
    </row>
    <row r="196" spans="2:32" ht="18" customHeight="1" outlineLevel="1">
      <c r="B196" s="1142" t="s">
        <v>817</v>
      </c>
      <c r="C196" s="158" t="s">
        <v>834</v>
      </c>
      <c r="D196" s="480">
        <f t="shared" si="110"/>
        <v>3.5</v>
      </c>
      <c r="E196" s="480">
        <v>3.5</v>
      </c>
      <c r="F196" s="480">
        <v>3.5</v>
      </c>
      <c r="G196" s="480">
        <v>3.5</v>
      </c>
      <c r="H196" s="480">
        <v>3.5</v>
      </c>
      <c r="I196" s="480">
        <v>3.5</v>
      </c>
      <c r="J196" s="480">
        <v>3.5</v>
      </c>
      <c r="K196" s="480">
        <v>3.5</v>
      </c>
      <c r="L196" s="480">
        <v>3.5</v>
      </c>
      <c r="M196" s="480">
        <v>3.5</v>
      </c>
      <c r="N196" s="480">
        <v>3.5</v>
      </c>
      <c r="O196" s="480">
        <v>3.5</v>
      </c>
      <c r="P196" s="480">
        <v>3.5</v>
      </c>
      <c r="S196"/>
      <c r="T196"/>
      <c r="U196"/>
      <c r="V196"/>
      <c r="W196"/>
      <c r="X196"/>
      <c r="Y196"/>
      <c r="Z196"/>
      <c r="AA196"/>
      <c r="AB196"/>
      <c r="AC196"/>
      <c r="AD196"/>
      <c r="AE196"/>
    </row>
    <row r="197" spans="2:32" ht="18" customHeight="1" outlineLevel="1">
      <c r="B197" s="1142" t="s">
        <v>817</v>
      </c>
      <c r="C197" s="158" t="s">
        <v>835</v>
      </c>
      <c r="D197" s="480">
        <f>IFERROR(AVERAGE(E197:P197),"")</f>
        <v>7</v>
      </c>
      <c r="E197" s="1123">
        <v>7</v>
      </c>
      <c r="F197" s="1123">
        <v>7</v>
      </c>
      <c r="G197" s="1123">
        <v>7</v>
      </c>
      <c r="H197" s="1123">
        <v>7</v>
      </c>
      <c r="I197" s="1123">
        <v>7</v>
      </c>
      <c r="J197" s="1123">
        <v>7</v>
      </c>
      <c r="K197" s="1123">
        <v>7</v>
      </c>
      <c r="L197" s="1123">
        <v>7</v>
      </c>
      <c r="M197" s="1123">
        <v>7</v>
      </c>
      <c r="N197" s="1123">
        <v>7</v>
      </c>
      <c r="O197" s="1123">
        <v>7</v>
      </c>
      <c r="P197" s="1123">
        <v>7</v>
      </c>
      <c r="S197"/>
      <c r="T197"/>
      <c r="U197"/>
      <c r="V197"/>
      <c r="W197"/>
      <c r="X197"/>
      <c r="Y197"/>
      <c r="Z197"/>
      <c r="AA197"/>
      <c r="AB197"/>
      <c r="AC197"/>
      <c r="AD197"/>
      <c r="AE197"/>
    </row>
    <row r="198" spans="2:32" s="1294" customFormat="1" ht="18" customHeight="1">
      <c r="B198" s="1356" t="s">
        <v>817</v>
      </c>
      <c r="C198" s="1345" t="s">
        <v>736</v>
      </c>
      <c r="D198" s="1039">
        <f>IFERROR(SUM(E198:P198),"")</f>
        <v>5132715.25</v>
      </c>
      <c r="E198" s="1039">
        <f t="shared" ref="E198:P198" si="111">SUM(E199:E200)</f>
        <v>425147.5</v>
      </c>
      <c r="F198" s="1039">
        <f t="shared" si="111"/>
        <v>113851.75</v>
      </c>
      <c r="G198" s="1039">
        <f t="shared" si="111"/>
        <v>887560</v>
      </c>
      <c r="H198" s="1039">
        <f t="shared" si="111"/>
        <v>432500</v>
      </c>
      <c r="I198" s="1039">
        <f t="shared" si="111"/>
        <v>651380</v>
      </c>
      <c r="J198" s="1039">
        <f t="shared" si="111"/>
        <v>896030</v>
      </c>
      <c r="K198" s="1039">
        <f t="shared" si="111"/>
        <v>396552</v>
      </c>
      <c r="L198" s="1039">
        <f t="shared" si="111"/>
        <v>352290</v>
      </c>
      <c r="M198" s="1039">
        <f t="shared" si="111"/>
        <v>121220</v>
      </c>
      <c r="N198" s="1039">
        <f t="shared" si="111"/>
        <v>180356</v>
      </c>
      <c r="O198" s="1039">
        <f t="shared" si="111"/>
        <v>382720</v>
      </c>
      <c r="P198" s="1039">
        <f t="shared" si="111"/>
        <v>293108</v>
      </c>
      <c r="R198"/>
      <c r="S198"/>
      <c r="T198"/>
      <c r="U198"/>
      <c r="V198"/>
      <c r="W198"/>
      <c r="X198"/>
      <c r="Y198"/>
      <c r="Z198"/>
      <c r="AA198"/>
      <c r="AB198"/>
      <c r="AC198"/>
      <c r="AD198"/>
      <c r="AE198"/>
      <c r="AF198"/>
    </row>
    <row r="199" spans="2:32" ht="18" customHeight="1" outlineLevel="1">
      <c r="B199" s="1142" t="s">
        <v>817</v>
      </c>
      <c r="C199" s="158" t="s">
        <v>733</v>
      </c>
      <c r="D199" s="1037">
        <f>IF(SUM(E199:P199)&gt;0,SUM(E199:P199),"")</f>
        <v>1176000</v>
      </c>
      <c r="E199" s="1037">
        <f>(E201)</f>
        <v>0</v>
      </c>
      <c r="F199" s="1037">
        <f t="shared" ref="F199:P199" si="112">(F201)</f>
        <v>0</v>
      </c>
      <c r="G199" s="1037">
        <f t="shared" si="112"/>
        <v>332800</v>
      </c>
      <c r="H199" s="1037">
        <f t="shared" si="112"/>
        <v>0</v>
      </c>
      <c r="I199" s="1037">
        <f t="shared" si="112"/>
        <v>0</v>
      </c>
      <c r="J199" s="1037">
        <f t="shared" si="112"/>
        <v>176000</v>
      </c>
      <c r="K199" s="1037">
        <f t="shared" si="112"/>
        <v>160000</v>
      </c>
      <c r="L199" s="1037">
        <f t="shared" si="112"/>
        <v>187200</v>
      </c>
      <c r="M199" s="1037">
        <f t="shared" si="112"/>
        <v>0</v>
      </c>
      <c r="N199" s="1037">
        <f t="shared" si="112"/>
        <v>0</v>
      </c>
      <c r="O199" s="1037">
        <f t="shared" si="112"/>
        <v>320000</v>
      </c>
      <c r="P199" s="1037">
        <f t="shared" si="112"/>
        <v>0</v>
      </c>
      <c r="S199"/>
      <c r="T199"/>
      <c r="U199"/>
      <c r="V199"/>
      <c r="W199"/>
      <c r="X199"/>
      <c r="Y199"/>
      <c r="Z199"/>
      <c r="AA199"/>
      <c r="AB199"/>
      <c r="AC199"/>
      <c r="AD199"/>
      <c r="AE199"/>
    </row>
    <row r="200" spans="2:32" ht="18" customHeight="1" outlineLevel="1">
      <c r="B200" s="1142" t="s">
        <v>817</v>
      </c>
      <c r="C200" s="158" t="s">
        <v>842</v>
      </c>
      <c r="D200" s="1037">
        <f>IF(SUM(E200:P200)&gt;0,SUM(E200:P200),"")</f>
        <v>3956715.25</v>
      </c>
      <c r="E200" s="1037">
        <f>(E202+E203+E204+E205+E206)</f>
        <v>425147.5</v>
      </c>
      <c r="F200" s="1037">
        <f t="shared" ref="F200:P200" si="113">(F202+F203+F204+F205+F206)</f>
        <v>113851.75</v>
      </c>
      <c r="G200" s="1037">
        <f t="shared" si="113"/>
        <v>554760</v>
      </c>
      <c r="H200" s="1037">
        <f t="shared" si="113"/>
        <v>432500</v>
      </c>
      <c r="I200" s="1037">
        <f t="shared" si="113"/>
        <v>651380</v>
      </c>
      <c r="J200" s="1037">
        <f t="shared" si="113"/>
        <v>720030</v>
      </c>
      <c r="K200" s="1037">
        <f t="shared" si="113"/>
        <v>236552</v>
      </c>
      <c r="L200" s="1037">
        <f t="shared" si="113"/>
        <v>165090</v>
      </c>
      <c r="M200" s="1037">
        <f t="shared" si="113"/>
        <v>121220</v>
      </c>
      <c r="N200" s="1037">
        <f t="shared" si="113"/>
        <v>180356</v>
      </c>
      <c r="O200" s="1037">
        <f t="shared" si="113"/>
        <v>62720</v>
      </c>
      <c r="P200" s="1037">
        <f t="shared" si="113"/>
        <v>293108</v>
      </c>
      <c r="S200"/>
      <c r="T200"/>
      <c r="U200"/>
      <c r="V200"/>
      <c r="W200"/>
      <c r="X200"/>
      <c r="Y200"/>
      <c r="Z200"/>
      <c r="AA200"/>
      <c r="AB200"/>
      <c r="AC200"/>
      <c r="AD200"/>
      <c r="AE200"/>
    </row>
    <row r="201" spans="2:32" ht="18" customHeight="1" outlineLevel="1">
      <c r="B201" s="1142" t="s">
        <v>817</v>
      </c>
      <c r="C201" s="158" t="s">
        <v>836</v>
      </c>
      <c r="D201" s="1037">
        <f>IF(SUM(E201:P201)&gt;0,SUM(E201:P201),"")</f>
        <v>1176000</v>
      </c>
      <c r="E201" s="1037">
        <f t="shared" ref="E201:P203" si="114">(E192*E185)</f>
        <v>0</v>
      </c>
      <c r="F201" s="1037">
        <f t="shared" si="114"/>
        <v>0</v>
      </c>
      <c r="G201" s="1037">
        <f t="shared" si="114"/>
        <v>332800</v>
      </c>
      <c r="H201" s="1037">
        <f t="shared" si="114"/>
        <v>0</v>
      </c>
      <c r="I201" s="1037">
        <f t="shared" si="114"/>
        <v>0</v>
      </c>
      <c r="J201" s="1037">
        <f t="shared" si="114"/>
        <v>176000</v>
      </c>
      <c r="K201" s="1037">
        <f t="shared" si="114"/>
        <v>160000</v>
      </c>
      <c r="L201" s="1037">
        <f t="shared" si="114"/>
        <v>187200</v>
      </c>
      <c r="M201" s="1037">
        <f t="shared" si="114"/>
        <v>0</v>
      </c>
      <c r="N201" s="1037">
        <f t="shared" si="114"/>
        <v>0</v>
      </c>
      <c r="O201" s="1037">
        <f t="shared" si="114"/>
        <v>320000</v>
      </c>
      <c r="P201" s="1037">
        <f t="shared" si="114"/>
        <v>0</v>
      </c>
      <c r="S201"/>
      <c r="T201"/>
      <c r="U201"/>
      <c r="V201"/>
      <c r="W201"/>
      <c r="X201"/>
      <c r="Y201"/>
      <c r="Z201"/>
      <c r="AA201"/>
      <c r="AB201"/>
      <c r="AC201"/>
      <c r="AD201"/>
      <c r="AE201"/>
    </row>
    <row r="202" spans="2:32" ht="18" customHeight="1" outlineLevel="1">
      <c r="B202" s="1142" t="s">
        <v>817</v>
      </c>
      <c r="C202" s="158" t="s">
        <v>841</v>
      </c>
      <c r="D202" s="1037">
        <f>IF(SUM(E202:P202)&gt;0,SUM(E202:P202),"")</f>
        <v>822400</v>
      </c>
      <c r="E202" s="1037">
        <f t="shared" si="114"/>
        <v>264000</v>
      </c>
      <c r="F202" s="1037">
        <f t="shared" si="114"/>
        <v>112000</v>
      </c>
      <c r="G202" s="1037">
        <f t="shared" si="114"/>
        <v>120000</v>
      </c>
      <c r="H202" s="1037">
        <f t="shared" si="114"/>
        <v>32000</v>
      </c>
      <c r="I202" s="1037">
        <f t="shared" si="114"/>
        <v>120000</v>
      </c>
      <c r="J202" s="1037">
        <f t="shared" si="114"/>
        <v>80800</v>
      </c>
      <c r="K202" s="1037">
        <f t="shared" si="114"/>
        <v>0</v>
      </c>
      <c r="L202" s="1037">
        <f t="shared" si="114"/>
        <v>32000</v>
      </c>
      <c r="M202" s="1037">
        <f t="shared" si="114"/>
        <v>4800</v>
      </c>
      <c r="N202" s="1037">
        <f t="shared" si="114"/>
        <v>48800</v>
      </c>
      <c r="O202" s="1037">
        <f t="shared" si="114"/>
        <v>4000</v>
      </c>
      <c r="P202" s="1037">
        <f t="shared" si="114"/>
        <v>4000</v>
      </c>
      <c r="S202"/>
      <c r="T202"/>
      <c r="U202"/>
      <c r="V202"/>
      <c r="W202"/>
      <c r="X202"/>
      <c r="Y202"/>
      <c r="Z202"/>
      <c r="AA202"/>
      <c r="AB202"/>
      <c r="AC202"/>
      <c r="AD202"/>
      <c r="AE202"/>
    </row>
    <row r="203" spans="2:32" ht="18" customHeight="1" outlineLevel="1">
      <c r="B203" s="1142" t="s">
        <v>817</v>
      </c>
      <c r="C203" s="158" t="s">
        <v>837</v>
      </c>
      <c r="D203" s="1037">
        <f t="shared" ref="D203:D206" si="115">IF(SUM(E203:P203)&gt;0,SUM(E203:P203),"")</f>
        <v>289205.25</v>
      </c>
      <c r="E203" s="1037">
        <f t="shared" si="114"/>
        <v>2287.5</v>
      </c>
      <c r="F203" s="1037">
        <f t="shared" si="114"/>
        <v>1851.75</v>
      </c>
      <c r="G203" s="1037">
        <f t="shared" si="114"/>
        <v>9600</v>
      </c>
      <c r="H203" s="1037">
        <f t="shared" si="114"/>
        <v>12000</v>
      </c>
      <c r="I203" s="1037">
        <f t="shared" si="114"/>
        <v>67200</v>
      </c>
      <c r="J203" s="1037">
        <f t="shared" si="114"/>
        <v>36000</v>
      </c>
      <c r="K203" s="1037">
        <f t="shared" si="114"/>
        <v>49842</v>
      </c>
      <c r="L203" s="1037">
        <f t="shared" si="114"/>
        <v>42600</v>
      </c>
      <c r="M203" s="1037">
        <f t="shared" si="114"/>
        <v>48480</v>
      </c>
      <c r="N203" s="1037">
        <f t="shared" si="114"/>
        <v>19056</v>
      </c>
      <c r="O203" s="1037">
        <f t="shared" si="114"/>
        <v>0</v>
      </c>
      <c r="P203" s="1037">
        <f t="shared" si="114"/>
        <v>288</v>
      </c>
      <c r="S203"/>
      <c r="T203"/>
      <c r="U203"/>
      <c r="V203"/>
      <c r="W203"/>
      <c r="X203"/>
      <c r="Y203"/>
      <c r="Z203"/>
      <c r="AA203"/>
      <c r="AB203"/>
      <c r="AC203"/>
      <c r="AD203"/>
      <c r="AE203"/>
    </row>
    <row r="204" spans="2:32" ht="18" customHeight="1" outlineLevel="1">
      <c r="B204" s="1142" t="s">
        <v>817</v>
      </c>
      <c r="C204" s="158" t="s">
        <v>838</v>
      </c>
      <c r="D204" s="1037">
        <f t="shared" si="115"/>
        <v>1416060</v>
      </c>
      <c r="E204" s="1037">
        <f t="shared" ref="E204:P206" si="116">(E195*E189)</f>
        <v>158860</v>
      </c>
      <c r="F204" s="1037">
        <f t="shared" si="116"/>
        <v>0</v>
      </c>
      <c r="G204" s="1037">
        <f t="shared" si="116"/>
        <v>88180</v>
      </c>
      <c r="H204" s="1037">
        <f t="shared" si="116"/>
        <v>0</v>
      </c>
      <c r="I204" s="1037">
        <f t="shared" si="116"/>
        <v>128180</v>
      </c>
      <c r="J204" s="1037">
        <f t="shared" si="116"/>
        <v>381680</v>
      </c>
      <c r="K204" s="1037">
        <f t="shared" si="116"/>
        <v>137640</v>
      </c>
      <c r="L204" s="1037">
        <f t="shared" si="116"/>
        <v>45480</v>
      </c>
      <c r="M204" s="1037">
        <f t="shared" si="116"/>
        <v>65140</v>
      </c>
      <c r="N204" s="1037">
        <f t="shared" si="116"/>
        <v>69380</v>
      </c>
      <c r="O204" s="1037">
        <f t="shared" si="116"/>
        <v>58580</v>
      </c>
      <c r="P204" s="1037">
        <f t="shared" si="116"/>
        <v>282940</v>
      </c>
      <c r="S204"/>
      <c r="T204"/>
      <c r="U204"/>
      <c r="V204"/>
      <c r="W204"/>
      <c r="X204"/>
      <c r="Y204"/>
      <c r="Z204"/>
      <c r="AA204"/>
      <c r="AB204"/>
      <c r="AC204"/>
      <c r="AD204"/>
      <c r="AE204"/>
    </row>
    <row r="205" spans="2:32" ht="18" customHeight="1" outlineLevel="1">
      <c r="B205" s="1142" t="s">
        <v>817</v>
      </c>
      <c r="C205" s="158" t="s">
        <v>839</v>
      </c>
      <c r="D205" s="1037">
        <f t="shared" si="115"/>
        <v>330050</v>
      </c>
      <c r="E205" s="1037">
        <f t="shared" si="116"/>
        <v>0</v>
      </c>
      <c r="F205" s="1037">
        <f t="shared" si="116"/>
        <v>0</v>
      </c>
      <c r="G205" s="1037">
        <f t="shared" si="116"/>
        <v>0</v>
      </c>
      <c r="H205" s="1037">
        <f t="shared" si="116"/>
        <v>0</v>
      </c>
      <c r="I205" s="1037">
        <f t="shared" si="116"/>
        <v>28000</v>
      </c>
      <c r="J205" s="1037">
        <f t="shared" si="116"/>
        <v>156030</v>
      </c>
      <c r="K205" s="1037">
        <f t="shared" si="116"/>
        <v>49070</v>
      </c>
      <c r="L205" s="1037">
        <f t="shared" si="116"/>
        <v>45010</v>
      </c>
      <c r="M205" s="1037">
        <f t="shared" si="116"/>
        <v>2800</v>
      </c>
      <c r="N205" s="1037">
        <f t="shared" si="116"/>
        <v>43120</v>
      </c>
      <c r="O205" s="1037">
        <f t="shared" si="116"/>
        <v>140</v>
      </c>
      <c r="P205" s="1037">
        <f t="shared" si="116"/>
        <v>5880</v>
      </c>
      <c r="S205"/>
      <c r="T205"/>
      <c r="U205"/>
      <c r="V205"/>
      <c r="W205"/>
      <c r="X205"/>
      <c r="Y205"/>
      <c r="Z205"/>
      <c r="AA205"/>
      <c r="AB205"/>
      <c r="AC205"/>
      <c r="AD205"/>
      <c r="AE205"/>
    </row>
    <row r="206" spans="2:32" ht="18" customHeight="1" outlineLevel="1">
      <c r="B206" s="1142" t="s">
        <v>817</v>
      </c>
      <c r="C206" s="158" t="s">
        <v>840</v>
      </c>
      <c r="D206" s="1037">
        <f t="shared" si="115"/>
        <v>1099000</v>
      </c>
      <c r="E206" s="1037">
        <f>(E197*E191)</f>
        <v>0</v>
      </c>
      <c r="F206" s="1037">
        <f t="shared" si="116"/>
        <v>0</v>
      </c>
      <c r="G206" s="1037">
        <f t="shared" si="116"/>
        <v>336980</v>
      </c>
      <c r="H206" s="1037">
        <f t="shared" si="116"/>
        <v>388500</v>
      </c>
      <c r="I206" s="1037">
        <f t="shared" si="116"/>
        <v>308000</v>
      </c>
      <c r="J206" s="1037">
        <f t="shared" si="116"/>
        <v>65520</v>
      </c>
      <c r="K206" s="1037">
        <f t="shared" si="116"/>
        <v>0</v>
      </c>
      <c r="L206" s="1037">
        <f t="shared" si="116"/>
        <v>0</v>
      </c>
      <c r="M206" s="1037">
        <f t="shared" si="116"/>
        <v>0</v>
      </c>
      <c r="N206" s="1037">
        <f t="shared" si="116"/>
        <v>0</v>
      </c>
      <c r="O206" s="1037">
        <f t="shared" si="116"/>
        <v>0</v>
      </c>
      <c r="P206" s="1037">
        <f t="shared" si="116"/>
        <v>0</v>
      </c>
      <c r="S206"/>
      <c r="T206"/>
      <c r="U206"/>
      <c r="V206"/>
      <c r="W206"/>
      <c r="X206"/>
      <c r="Y206"/>
      <c r="Z206"/>
      <c r="AA206"/>
      <c r="AB206"/>
      <c r="AC206"/>
      <c r="AD206"/>
      <c r="AE206"/>
    </row>
    <row r="207" spans="2:32" s="1294" customFormat="1" ht="18" customHeight="1">
      <c r="B207" s="1356" t="s">
        <v>817</v>
      </c>
      <c r="C207" s="1345" t="s">
        <v>738</v>
      </c>
      <c r="D207" s="1040">
        <f>IFERROR(SUM(E207:P207),"")</f>
        <v>3403982.4611080009</v>
      </c>
      <c r="E207" s="1040">
        <f t="shared" ref="E207:P207" si="117">SUM(E208:E216)</f>
        <v>523263.27960285707</v>
      </c>
      <c r="F207" s="1040">
        <f t="shared" si="117"/>
        <v>129196.03961531099</v>
      </c>
      <c r="G207" s="1040">
        <f t="shared" si="117"/>
        <v>445212.80894988263</v>
      </c>
      <c r="H207" s="1040">
        <f t="shared" si="117"/>
        <v>353481.25661055237</v>
      </c>
      <c r="I207" s="1040">
        <f t="shared" si="117"/>
        <v>475704.16953340254</v>
      </c>
      <c r="J207" s="1040">
        <f t="shared" si="117"/>
        <v>217436.89527698632</v>
      </c>
      <c r="K207" s="1040">
        <f t="shared" si="117"/>
        <v>679973.07960228587</v>
      </c>
      <c r="L207" s="1040">
        <f t="shared" si="117"/>
        <v>169563.1174600072</v>
      </c>
      <c r="M207" s="1040">
        <f t="shared" si="117"/>
        <v>103722.51000000001</v>
      </c>
      <c r="N207" s="1040">
        <f t="shared" si="117"/>
        <v>90346.46</v>
      </c>
      <c r="O207" s="1040">
        <f t="shared" si="117"/>
        <v>146608.53017100142</v>
      </c>
      <c r="P207" s="1040">
        <f t="shared" si="117"/>
        <v>69474.314285714296</v>
      </c>
      <c r="R207"/>
      <c r="S207"/>
      <c r="T207"/>
      <c r="U207"/>
      <c r="V207"/>
      <c r="W207"/>
      <c r="X207"/>
      <c r="Y207"/>
      <c r="Z207"/>
      <c r="AA207"/>
      <c r="AB207"/>
      <c r="AC207"/>
      <c r="AD207"/>
      <c r="AE207"/>
      <c r="AF207"/>
    </row>
    <row r="208" spans="2:32" ht="18" customHeight="1" outlineLevel="1">
      <c r="B208" s="1142" t="s">
        <v>817</v>
      </c>
      <c r="C208" s="1110" t="s">
        <v>767</v>
      </c>
      <c r="D208" s="1041">
        <f t="shared" ref="D208:D211" si="118">IF(SUM(E208:P208)&gt;0,SUM(E208:P208),"")</f>
        <v>2383798.5311080008</v>
      </c>
      <c r="E208" s="1038">
        <v>442877.6796028571</v>
      </c>
      <c r="F208" s="1038">
        <v>41006.829615311006</v>
      </c>
      <c r="G208" s="1038">
        <v>362333.42894988263</v>
      </c>
      <c r="H208" s="1038">
        <v>284010.07661055238</v>
      </c>
      <c r="I208" s="1038">
        <v>415748.08953340258</v>
      </c>
      <c r="J208" s="1038">
        <v>115610.43527698632</v>
      </c>
      <c r="K208" s="1038">
        <v>593667.39960228582</v>
      </c>
      <c r="L208" s="1038">
        <v>54906.557460007207</v>
      </c>
      <c r="M208" s="1038">
        <v>7500</v>
      </c>
      <c r="N208" s="1038">
        <v>2500</v>
      </c>
      <c r="O208" s="1038">
        <v>59718.320171001433</v>
      </c>
      <c r="P208" s="1038">
        <v>3919.7142857142858</v>
      </c>
      <c r="S208"/>
      <c r="T208"/>
      <c r="U208"/>
      <c r="V208"/>
      <c r="W208"/>
      <c r="X208"/>
      <c r="Y208"/>
      <c r="Z208"/>
      <c r="AA208"/>
      <c r="AB208"/>
      <c r="AC208"/>
      <c r="AD208"/>
      <c r="AE208"/>
    </row>
    <row r="209" spans="2:32" ht="18" customHeight="1" outlineLevel="1">
      <c r="B209" s="1142" t="s">
        <v>817</v>
      </c>
      <c r="C209" s="1110" t="s">
        <v>845</v>
      </c>
      <c r="D209" s="1041">
        <f t="shared" si="118"/>
        <v>24947</v>
      </c>
      <c r="E209" s="1038">
        <v>2080</v>
      </c>
      <c r="F209" s="1038">
        <v>2218</v>
      </c>
      <c r="G209" s="1038">
        <v>2309</v>
      </c>
      <c r="H209" s="1038"/>
      <c r="I209" s="1038">
        <v>2466</v>
      </c>
      <c r="J209" s="1038">
        <v>2290</v>
      </c>
      <c r="K209" s="1038">
        <v>2080</v>
      </c>
      <c r="L209" s="1038">
        <v>2346</v>
      </c>
      <c r="M209" s="1038">
        <v>2333.4</v>
      </c>
      <c r="N209" s="1038">
        <v>2360</v>
      </c>
      <c r="O209" s="1038">
        <v>2424.6</v>
      </c>
      <c r="P209" s="1038">
        <v>2040</v>
      </c>
      <c r="S209"/>
      <c r="T209"/>
      <c r="U209"/>
      <c r="V209"/>
      <c r="W209"/>
      <c r="X209"/>
      <c r="Y209"/>
      <c r="Z209"/>
      <c r="AA209"/>
      <c r="AB209"/>
      <c r="AC209"/>
      <c r="AD209"/>
      <c r="AE209"/>
    </row>
    <row r="210" spans="2:32" ht="18" customHeight="1" outlineLevel="1">
      <c r="B210" s="1142" t="s">
        <v>817</v>
      </c>
      <c r="C210" s="1110" t="s">
        <v>843</v>
      </c>
      <c r="D210" s="1041">
        <f t="shared" si="118"/>
        <v>36071.629999999997</v>
      </c>
      <c r="E210" s="1036"/>
      <c r="F210" s="1036"/>
      <c r="G210" s="1038"/>
      <c r="H210" s="1038"/>
      <c r="I210" s="1036"/>
      <c r="J210" s="1038"/>
      <c r="K210" s="1038">
        <v>3623.5</v>
      </c>
      <c r="L210" s="1038">
        <v>2013.41</v>
      </c>
      <c r="M210" s="1038">
        <v>531</v>
      </c>
      <c r="N210" s="1038">
        <v>18663.669999999998</v>
      </c>
      <c r="O210" s="1038">
        <v>960</v>
      </c>
      <c r="P210" s="1038">
        <v>10280.049999999999</v>
      </c>
      <c r="S210"/>
      <c r="T210"/>
      <c r="U210"/>
      <c r="V210"/>
      <c r="W210"/>
      <c r="X210"/>
      <c r="Y210"/>
      <c r="Z210"/>
      <c r="AA210"/>
      <c r="AB210"/>
      <c r="AC210"/>
      <c r="AD210"/>
      <c r="AE210"/>
    </row>
    <row r="211" spans="2:32" ht="18" customHeight="1" outlineLevel="1">
      <c r="B211" s="1142" t="s">
        <v>817</v>
      </c>
      <c r="C211" s="1110" t="s">
        <v>844</v>
      </c>
      <c r="D211" s="1041">
        <f t="shared" si="118"/>
        <v>232</v>
      </c>
      <c r="E211" s="1036"/>
      <c r="F211" s="1036"/>
      <c r="G211" s="1038"/>
      <c r="H211" s="1038"/>
      <c r="I211" s="1036"/>
      <c r="J211" s="1038"/>
      <c r="K211" s="1038"/>
      <c r="L211" s="1038"/>
      <c r="M211" s="1038">
        <v>232</v>
      </c>
      <c r="N211" s="1038"/>
      <c r="O211" s="1038"/>
      <c r="P211" s="1038"/>
      <c r="S211"/>
      <c r="T211"/>
      <c r="U211"/>
      <c r="V211"/>
      <c r="W211"/>
      <c r="X211"/>
      <c r="Y211"/>
      <c r="Z211"/>
      <c r="AA211"/>
      <c r="AB211"/>
      <c r="AC211"/>
      <c r="AD211"/>
      <c r="AE211"/>
    </row>
    <row r="212" spans="2:32" ht="18" customHeight="1" outlineLevel="1">
      <c r="B212" s="1142" t="s">
        <v>817</v>
      </c>
      <c r="C212" s="1110" t="s">
        <v>726</v>
      </c>
      <c r="D212" s="1041">
        <f t="shared" ref="D212:D216" si="119">IF(SUM(E212:P212)&gt;0,SUM(E212:P212),"")</f>
        <v>34112.080000000002</v>
      </c>
      <c r="E212" s="1036"/>
      <c r="F212" s="1036"/>
      <c r="G212" s="1038"/>
      <c r="H212" s="1038"/>
      <c r="I212" s="1036"/>
      <c r="J212" s="1038"/>
      <c r="K212" s="1038"/>
      <c r="L212" s="1038">
        <v>3748.66</v>
      </c>
      <c r="M212" s="1038">
        <v>24987.68</v>
      </c>
      <c r="N212" s="1038">
        <v>1219.1400000000001</v>
      </c>
      <c r="O212" s="1038">
        <v>2104.52</v>
      </c>
      <c r="P212" s="1038">
        <v>2052.08</v>
      </c>
      <c r="S212"/>
      <c r="T212"/>
      <c r="U212"/>
      <c r="V212"/>
      <c r="W212"/>
      <c r="X212"/>
      <c r="Y212"/>
      <c r="Z212"/>
      <c r="AA212"/>
      <c r="AB212"/>
      <c r="AC212"/>
      <c r="AD212"/>
      <c r="AE212"/>
    </row>
    <row r="213" spans="2:32" ht="18" customHeight="1" outlineLevel="1">
      <c r="B213" s="1142"/>
      <c r="C213" s="1110" t="s">
        <v>845</v>
      </c>
      <c r="D213" s="1041">
        <f t="shared" si="119"/>
        <v>24947</v>
      </c>
      <c r="E213" s="1038">
        <v>2080</v>
      </c>
      <c r="F213" s="1038">
        <v>2218</v>
      </c>
      <c r="G213" s="1038">
        <v>2309</v>
      </c>
      <c r="H213" s="1038"/>
      <c r="I213" s="1038">
        <v>2466</v>
      </c>
      <c r="J213" s="1038">
        <v>2290</v>
      </c>
      <c r="K213" s="1038">
        <v>2080</v>
      </c>
      <c r="L213" s="1038">
        <v>2346</v>
      </c>
      <c r="M213" s="1038">
        <v>2333.4</v>
      </c>
      <c r="N213" s="1038">
        <v>2360</v>
      </c>
      <c r="O213" s="1038">
        <v>2424.6</v>
      </c>
      <c r="P213" s="1038">
        <v>2040</v>
      </c>
      <c r="S213"/>
      <c r="T213"/>
      <c r="U213"/>
      <c r="V213"/>
      <c r="W213"/>
      <c r="X213"/>
      <c r="Y213"/>
      <c r="Z213"/>
      <c r="AA213"/>
      <c r="AB213"/>
      <c r="AC213"/>
      <c r="AD213"/>
      <c r="AE213"/>
    </row>
    <row r="214" spans="2:32" ht="18" customHeight="1" outlineLevel="1">
      <c r="B214" s="1142" t="s">
        <v>817</v>
      </c>
      <c r="C214" s="1111" t="s">
        <v>717</v>
      </c>
      <c r="D214" s="1041">
        <f t="shared" si="119"/>
        <v>62461.2</v>
      </c>
      <c r="E214" s="1037">
        <v>879.6</v>
      </c>
      <c r="F214" s="1037">
        <v>2764</v>
      </c>
      <c r="G214" s="1037">
        <v>4125.2</v>
      </c>
      <c r="H214" s="1037">
        <v>4736</v>
      </c>
      <c r="I214" s="1037">
        <v>11938.6</v>
      </c>
      <c r="J214" s="1037">
        <v>5169.2</v>
      </c>
      <c r="K214" s="1038">
        <v>7950.7999999999993</v>
      </c>
      <c r="L214" s="1038">
        <v>2914.7999999999997</v>
      </c>
      <c r="M214" s="1038">
        <v>7181</v>
      </c>
      <c r="N214" s="1038">
        <v>899.59999999999991</v>
      </c>
      <c r="O214" s="1038">
        <v>8055.2000000000007</v>
      </c>
      <c r="P214" s="1038">
        <v>5847.2</v>
      </c>
      <c r="S214"/>
      <c r="T214"/>
      <c r="U214"/>
      <c r="V214"/>
      <c r="W214"/>
      <c r="X214"/>
      <c r="Y214"/>
      <c r="Z214"/>
      <c r="AA214"/>
      <c r="AB214"/>
      <c r="AC214"/>
      <c r="AD214"/>
      <c r="AE214"/>
    </row>
    <row r="215" spans="2:32" ht="18" customHeight="1" outlineLevel="1">
      <c r="B215" s="1142" t="s">
        <v>817</v>
      </c>
      <c r="C215" s="1110" t="s">
        <v>718</v>
      </c>
      <c r="D215" s="1041">
        <f t="shared" si="119"/>
        <v>656791.41000000015</v>
      </c>
      <c r="E215" s="1038">
        <v>75346</v>
      </c>
      <c r="F215" s="1038">
        <v>55962</v>
      </c>
      <c r="G215" s="1038">
        <v>63596</v>
      </c>
      <c r="H215" s="1038">
        <v>43457.32</v>
      </c>
      <c r="I215" s="1038">
        <v>36050</v>
      </c>
      <c r="J215" s="1038">
        <v>68974</v>
      </c>
      <c r="K215" s="1038">
        <v>60540</v>
      </c>
      <c r="L215" s="1038">
        <v>73484</v>
      </c>
      <c r="M215" s="1038">
        <v>49016</v>
      </c>
      <c r="N215" s="1038">
        <v>40788.660000000003</v>
      </c>
      <c r="O215" s="1038">
        <v>63022.43</v>
      </c>
      <c r="P215" s="1038">
        <v>26555</v>
      </c>
      <c r="S215"/>
      <c r="T215"/>
      <c r="U215"/>
      <c r="V215"/>
      <c r="W215"/>
      <c r="X215"/>
      <c r="Y215"/>
      <c r="Z215"/>
      <c r="AA215"/>
      <c r="AB215"/>
      <c r="AC215"/>
      <c r="AD215"/>
      <c r="AE215"/>
    </row>
    <row r="216" spans="2:32" ht="18" customHeight="1" outlineLevel="1">
      <c r="B216" s="1142" t="s">
        <v>817</v>
      </c>
      <c r="C216" s="1111" t="s">
        <v>719</v>
      </c>
      <c r="D216" s="1041">
        <f t="shared" si="119"/>
        <v>180621.60999999996</v>
      </c>
      <c r="E216" s="1037"/>
      <c r="F216" s="1037">
        <v>25027.209999999985</v>
      </c>
      <c r="G216" s="1037">
        <v>10540.18</v>
      </c>
      <c r="H216" s="1037">
        <v>21277.86</v>
      </c>
      <c r="I216" s="1037">
        <v>7035.4800000000005</v>
      </c>
      <c r="J216" s="1037">
        <v>23103.260000000002</v>
      </c>
      <c r="K216" s="1038">
        <v>10031.379999999999</v>
      </c>
      <c r="L216" s="1038">
        <v>27803.690000000006</v>
      </c>
      <c r="M216" s="1038">
        <v>9608.0299999999988</v>
      </c>
      <c r="N216" s="1038">
        <v>21555.39</v>
      </c>
      <c r="O216" s="1038">
        <v>7898.86</v>
      </c>
      <c r="P216" s="1038">
        <v>16740.27</v>
      </c>
      <c r="S216"/>
      <c r="T216"/>
      <c r="U216"/>
      <c r="V216"/>
      <c r="W216"/>
      <c r="X216"/>
      <c r="Y216"/>
      <c r="Z216"/>
      <c r="AA216"/>
      <c r="AB216"/>
      <c r="AC216"/>
      <c r="AD216"/>
      <c r="AE216"/>
    </row>
    <row r="217" spans="2:32" s="1294" customFormat="1" ht="18" customHeight="1" thickBot="1">
      <c r="B217" s="1356" t="s">
        <v>817</v>
      </c>
      <c r="C217" s="1346" t="s">
        <v>716</v>
      </c>
      <c r="D217" s="1044">
        <f>IFERROR(SUM(E217:P217),"")</f>
        <v>1728732.7888919995</v>
      </c>
      <c r="E217" s="1044">
        <f t="shared" ref="E217:P217" si="120">(E198-E207)</f>
        <v>-98115.779602857074</v>
      </c>
      <c r="F217" s="1044">
        <f t="shared" si="120"/>
        <v>-15344.28961531099</v>
      </c>
      <c r="G217" s="1044">
        <f t="shared" si="120"/>
        <v>442347.19105011737</v>
      </c>
      <c r="H217" s="1044">
        <f t="shared" si="120"/>
        <v>79018.743389447627</v>
      </c>
      <c r="I217" s="1044">
        <f t="shared" si="120"/>
        <v>175675.83046659746</v>
      </c>
      <c r="J217" s="1044">
        <f t="shared" si="120"/>
        <v>678593.1047230137</v>
      </c>
      <c r="K217" s="1044">
        <f t="shared" si="120"/>
        <v>-283421.07960228587</v>
      </c>
      <c r="L217" s="1044">
        <f t="shared" si="120"/>
        <v>182726.8825399928</v>
      </c>
      <c r="M217" s="1044">
        <f t="shared" si="120"/>
        <v>17497.489999999991</v>
      </c>
      <c r="N217" s="1044">
        <f t="shared" si="120"/>
        <v>90009.54</v>
      </c>
      <c r="O217" s="1044">
        <f t="shared" si="120"/>
        <v>236111.46982899858</v>
      </c>
      <c r="P217" s="1044">
        <f t="shared" si="120"/>
        <v>223633.6857142857</v>
      </c>
      <c r="R217"/>
      <c r="S217"/>
      <c r="T217"/>
      <c r="U217"/>
      <c r="V217"/>
      <c r="W217"/>
      <c r="X217"/>
      <c r="Y217"/>
      <c r="Z217"/>
      <c r="AA217"/>
      <c r="AB217"/>
      <c r="AC217"/>
      <c r="AD217"/>
      <c r="AE217"/>
      <c r="AF217"/>
    </row>
    <row r="218" spans="2:32" s="1294" customFormat="1" ht="15.75" outlineLevel="1" thickTop="1">
      <c r="B218" s="1142" t="s">
        <v>817</v>
      </c>
      <c r="C218" s="1049"/>
      <c r="D218" s="1049">
        <f t="shared" ref="D218:P218" si="121">IFERROR(D217/D198,"")</f>
        <v>0.33680668119900076</v>
      </c>
      <c r="E218" s="1049">
        <f t="shared" si="121"/>
        <v>-0.2307805634582282</v>
      </c>
      <c r="F218" s="1049">
        <f t="shared" si="121"/>
        <v>-0.13477429741142311</v>
      </c>
      <c r="G218" s="1049">
        <f t="shared" si="121"/>
        <v>0.4983856765177761</v>
      </c>
      <c r="H218" s="1049">
        <f t="shared" si="121"/>
        <v>0.18270229685421416</v>
      </c>
      <c r="I218" s="1049">
        <f t="shared" si="121"/>
        <v>0.26969791898215706</v>
      </c>
      <c r="J218" s="1049">
        <f t="shared" si="121"/>
        <v>0.75733301867461322</v>
      </c>
      <c r="K218" s="1049">
        <f t="shared" si="121"/>
        <v>-0.7147135296311351</v>
      </c>
      <c r="L218" s="1049">
        <f t="shared" si="121"/>
        <v>0.51868313758549156</v>
      </c>
      <c r="M218" s="1049">
        <f t="shared" si="121"/>
        <v>0.14434491008084466</v>
      </c>
      <c r="N218" s="1049">
        <f t="shared" si="121"/>
        <v>0.49906595843775642</v>
      </c>
      <c r="O218" s="1049">
        <f t="shared" si="121"/>
        <v>0.61693005285586999</v>
      </c>
      <c r="P218" s="1049">
        <f t="shared" si="121"/>
        <v>0.7629736674341393</v>
      </c>
      <c r="R218"/>
      <c r="S218"/>
      <c r="T218"/>
      <c r="U218"/>
      <c r="V218"/>
      <c r="W218"/>
      <c r="X218"/>
      <c r="Y218"/>
      <c r="Z218"/>
      <c r="AA218"/>
      <c r="AB218"/>
      <c r="AC218"/>
      <c r="AD218"/>
      <c r="AE218"/>
      <c r="AF218"/>
    </row>
    <row r="219" spans="2:32" s="1294" customFormat="1" ht="18" customHeight="1">
      <c r="B219" s="1356" t="s">
        <v>817</v>
      </c>
      <c r="C219" s="1347" t="s">
        <v>740</v>
      </c>
      <c r="D219" s="1043">
        <f t="shared" ref="D219:D227" si="122">IF(SUM(E219:P219)&gt;0,SUM(E219:P219),"")</f>
        <v>661446.49223650002</v>
      </c>
      <c r="E219" s="1043">
        <f>SUM(E220:E225)</f>
        <v>60470.707699999999</v>
      </c>
      <c r="F219" s="1043">
        <f>SUM(F220:F225)</f>
        <v>50347.6708</v>
      </c>
      <c r="G219" s="1043">
        <f>SUM(G220:G225)</f>
        <v>54099.877936499994</v>
      </c>
      <c r="H219" s="1043">
        <f>SUM(H220:H225)</f>
        <v>55463.490399999995</v>
      </c>
      <c r="I219" s="1043">
        <f t="shared" ref="I219:P219" si="123">SUM(I220:I225)</f>
        <v>51491.076399999998</v>
      </c>
      <c r="J219" s="1043">
        <f t="shared" si="123"/>
        <v>58686.051999999996</v>
      </c>
      <c r="K219" s="1043">
        <f t="shared" si="123"/>
        <v>55196.241399999999</v>
      </c>
      <c r="L219" s="1043">
        <f t="shared" si="123"/>
        <v>58623.942999999992</v>
      </c>
      <c r="M219" s="1043">
        <f t="shared" si="123"/>
        <v>50591.524699999994</v>
      </c>
      <c r="N219" s="1043">
        <f t="shared" si="123"/>
        <v>55594.981899999999</v>
      </c>
      <c r="O219" s="1043">
        <f t="shared" si="123"/>
        <v>56379.138399999996</v>
      </c>
      <c r="P219" s="1043">
        <f t="shared" si="123"/>
        <v>54501.787599999996</v>
      </c>
      <c r="R219"/>
      <c r="S219"/>
      <c r="T219"/>
      <c r="U219"/>
      <c r="V219"/>
      <c r="W219"/>
      <c r="X219"/>
      <c r="Y219"/>
      <c r="Z219"/>
      <c r="AA219"/>
      <c r="AB219"/>
      <c r="AC219"/>
      <c r="AD219"/>
      <c r="AE219"/>
      <c r="AF219"/>
    </row>
    <row r="220" spans="2:32" ht="18" customHeight="1" outlineLevel="1">
      <c r="B220" s="1142" t="s">
        <v>817</v>
      </c>
      <c r="C220" s="1111" t="s">
        <v>720</v>
      </c>
      <c r="D220" s="1041">
        <f t="shared" si="122"/>
        <v>192573.8756</v>
      </c>
      <c r="E220" s="1038">
        <v>25076.608200000002</v>
      </c>
      <c r="F220" s="1038">
        <v>10747.1178</v>
      </c>
      <c r="G220" s="1038">
        <v>17314.7958</v>
      </c>
      <c r="H220" s="1038">
        <v>14329.490400000001</v>
      </c>
      <c r="I220" s="1038">
        <v>14329.490400000001</v>
      </c>
      <c r="J220" s="1038">
        <v>17911.862999999998</v>
      </c>
      <c r="K220" s="1038">
        <v>14329.490399999999</v>
      </c>
      <c r="L220" s="1038">
        <v>17911.862999999998</v>
      </c>
      <c r="M220" s="1038">
        <v>13732.423200000001</v>
      </c>
      <c r="N220" s="1038">
        <v>14329.490399999999</v>
      </c>
      <c r="O220" s="1038">
        <v>17911.860399999998</v>
      </c>
      <c r="P220" s="1038">
        <v>14649.382599999999</v>
      </c>
      <c r="S220"/>
      <c r="T220"/>
      <c r="U220"/>
      <c r="V220"/>
      <c r="W220"/>
      <c r="X220"/>
      <c r="Y220"/>
      <c r="Z220"/>
      <c r="AA220"/>
      <c r="AB220"/>
      <c r="AC220"/>
      <c r="AD220"/>
      <c r="AE220"/>
    </row>
    <row r="221" spans="2:32" ht="18" customHeight="1" outlineLevel="1">
      <c r="B221" s="1142" t="s">
        <v>817</v>
      </c>
      <c r="C221" s="1111" t="s">
        <v>719</v>
      </c>
      <c r="D221" s="1041">
        <f t="shared" si="122"/>
        <v>44410.65</v>
      </c>
      <c r="E221" s="1038"/>
      <c r="F221" s="1038">
        <v>5611.63</v>
      </c>
      <c r="G221" s="1038">
        <v>1888.21</v>
      </c>
      <c r="H221" s="1038">
        <v>5783.98</v>
      </c>
      <c r="I221" s="1038">
        <v>1888.21</v>
      </c>
      <c r="J221" s="1038">
        <v>5783.98</v>
      </c>
      <c r="K221" s="1038">
        <v>3740.1299999999997</v>
      </c>
      <c r="L221" s="1038">
        <v>5926.58</v>
      </c>
      <c r="M221" s="1038">
        <v>1832.24</v>
      </c>
      <c r="N221" s="1038">
        <v>5864.59</v>
      </c>
      <c r="O221" s="1038">
        <v>1832.2399999999998</v>
      </c>
      <c r="P221" s="1038">
        <v>4258.8599999999997</v>
      </c>
      <c r="S221"/>
      <c r="T221"/>
      <c r="U221"/>
      <c r="V221"/>
      <c r="W221"/>
      <c r="X221"/>
      <c r="Y221"/>
      <c r="Z221"/>
      <c r="AA221"/>
      <c r="AB221"/>
      <c r="AC221"/>
      <c r="AD221"/>
      <c r="AE221"/>
    </row>
    <row r="222" spans="2:32" ht="18" customHeight="1" outlineLevel="1">
      <c r="B222" s="1142" t="s">
        <v>817</v>
      </c>
      <c r="C222" s="1110" t="s">
        <v>721</v>
      </c>
      <c r="D222" s="1041">
        <f t="shared" si="122"/>
        <v>5579.99</v>
      </c>
      <c r="E222" s="1038">
        <v>65</v>
      </c>
      <c r="F222" s="1038"/>
      <c r="G222" s="1038">
        <v>260</v>
      </c>
      <c r="H222" s="1038"/>
      <c r="I222" s="1038"/>
      <c r="J222" s="1038"/>
      <c r="K222" s="1038">
        <v>2858.5</v>
      </c>
      <c r="L222" s="1038">
        <v>177.8</v>
      </c>
      <c r="M222" s="1038">
        <v>556.20000000000005</v>
      </c>
      <c r="N222" s="1038"/>
      <c r="O222" s="1038">
        <v>1105.0900000000001</v>
      </c>
      <c r="P222" s="1038">
        <v>557.4</v>
      </c>
      <c r="S222"/>
      <c r="T222"/>
      <c r="U222"/>
      <c r="V222"/>
      <c r="W222"/>
      <c r="X222"/>
      <c r="Y222"/>
      <c r="Z222"/>
      <c r="AA222"/>
      <c r="AB222"/>
      <c r="AC222"/>
      <c r="AD222"/>
      <c r="AE222"/>
    </row>
    <row r="223" spans="2:32" ht="18" customHeight="1" outlineLevel="1">
      <c r="B223" s="1142" t="s">
        <v>817</v>
      </c>
      <c r="C223" s="158" t="s">
        <v>752</v>
      </c>
      <c r="D223" s="1041">
        <f t="shared" ref="D223:D225" si="124">IF(SUM(E223:P223)&gt;0,SUM(E223:P223),"")</f>
        <v>367231.41</v>
      </c>
      <c r="E223" s="1068">
        <f>((15693.65*52)/12)*0.45</f>
        <v>30602.6175</v>
      </c>
      <c r="F223" s="1068">
        <f t="shared" ref="F223:P223" si="125">((15693.65*52)/12)*0.45</f>
        <v>30602.6175</v>
      </c>
      <c r="G223" s="1068">
        <f t="shared" si="125"/>
        <v>30602.6175</v>
      </c>
      <c r="H223" s="1068">
        <f t="shared" si="125"/>
        <v>30602.6175</v>
      </c>
      <c r="I223" s="1068">
        <f t="shared" si="125"/>
        <v>30602.6175</v>
      </c>
      <c r="J223" s="1068">
        <f t="shared" si="125"/>
        <v>30602.6175</v>
      </c>
      <c r="K223" s="1068">
        <f t="shared" si="125"/>
        <v>30602.6175</v>
      </c>
      <c r="L223" s="1068">
        <f t="shared" si="125"/>
        <v>30602.6175</v>
      </c>
      <c r="M223" s="1068">
        <f t="shared" si="125"/>
        <v>30602.6175</v>
      </c>
      <c r="N223" s="1068">
        <f t="shared" si="125"/>
        <v>30602.6175</v>
      </c>
      <c r="O223" s="1068">
        <f t="shared" si="125"/>
        <v>30602.6175</v>
      </c>
      <c r="P223" s="1068">
        <f t="shared" si="125"/>
        <v>30602.6175</v>
      </c>
      <c r="S223"/>
      <c r="T223"/>
      <c r="U223"/>
      <c r="V223"/>
      <c r="W223"/>
      <c r="X223"/>
      <c r="Y223"/>
      <c r="Z223"/>
      <c r="AA223"/>
      <c r="AB223"/>
      <c r="AC223"/>
      <c r="AD223"/>
      <c r="AE223"/>
    </row>
    <row r="224" spans="2:32" ht="18" customHeight="1" outlineLevel="1">
      <c r="B224" s="1142" t="s">
        <v>817</v>
      </c>
      <c r="C224" s="158" t="s">
        <v>384</v>
      </c>
      <c r="D224" s="1041">
        <f t="shared" si="124"/>
        <v>7344.5580000000009</v>
      </c>
      <c r="E224" s="1068">
        <f>((313.87*52)/12)*0.45</f>
        <v>612.04649999999992</v>
      </c>
      <c r="F224" s="1068">
        <f t="shared" ref="F224:P224" si="126">((313.87*52)/12)*0.45</f>
        <v>612.04649999999992</v>
      </c>
      <c r="G224" s="1068">
        <f t="shared" si="126"/>
        <v>612.04649999999992</v>
      </c>
      <c r="H224" s="1068">
        <f t="shared" si="126"/>
        <v>612.04649999999992</v>
      </c>
      <c r="I224" s="1068">
        <f t="shared" si="126"/>
        <v>612.04649999999992</v>
      </c>
      <c r="J224" s="1068">
        <f t="shared" si="126"/>
        <v>612.04649999999992</v>
      </c>
      <c r="K224" s="1068">
        <f t="shared" si="126"/>
        <v>612.04649999999992</v>
      </c>
      <c r="L224" s="1068">
        <f t="shared" si="126"/>
        <v>612.04649999999992</v>
      </c>
      <c r="M224" s="1068">
        <f t="shared" si="126"/>
        <v>612.04649999999992</v>
      </c>
      <c r="N224" s="1068">
        <f t="shared" si="126"/>
        <v>612.04649999999992</v>
      </c>
      <c r="O224" s="1068">
        <f t="shared" si="126"/>
        <v>612.04649999999992</v>
      </c>
      <c r="P224" s="1068">
        <f t="shared" si="126"/>
        <v>612.04649999999992</v>
      </c>
      <c r="S224"/>
      <c r="T224"/>
      <c r="U224"/>
      <c r="V224"/>
      <c r="W224"/>
      <c r="X224"/>
      <c r="Y224"/>
      <c r="Z224"/>
      <c r="AA224"/>
      <c r="AB224"/>
      <c r="AC224"/>
      <c r="AD224"/>
      <c r="AE224"/>
    </row>
    <row r="225" spans="2:32" ht="18" customHeight="1" outlineLevel="1">
      <c r="B225" s="1142" t="s">
        <v>817</v>
      </c>
      <c r="C225" s="158" t="s">
        <v>717</v>
      </c>
      <c r="D225" s="1041">
        <f t="shared" si="124"/>
        <v>44306.008636500002</v>
      </c>
      <c r="E225" s="1068">
        <f>9143.19*0.45</f>
        <v>4114.4355000000005</v>
      </c>
      <c r="F225" s="1068">
        <f>6165.02*0.45</f>
        <v>2774.2590000000005</v>
      </c>
      <c r="G225" s="1068">
        <f>7604.90697*0.45</f>
        <v>3422.2081364999999</v>
      </c>
      <c r="H225" s="1068">
        <f>9189.68*0.45</f>
        <v>4135.3560000000007</v>
      </c>
      <c r="I225" s="1068">
        <f>9019.36*0.45</f>
        <v>4058.7120000000004</v>
      </c>
      <c r="J225" s="1068">
        <f>8390.1*0.45</f>
        <v>3775.5450000000001</v>
      </c>
      <c r="K225" s="1068">
        <f>6785.46*0.45</f>
        <v>3053.4569999999999</v>
      </c>
      <c r="L225" s="1068">
        <f>7540.08*0.45</f>
        <v>3393.0360000000001</v>
      </c>
      <c r="M225" s="1068">
        <f>7235.55*0.45</f>
        <v>3255.9974999999999</v>
      </c>
      <c r="N225" s="1068">
        <f>9302.75*0.45</f>
        <v>4186.2375000000002</v>
      </c>
      <c r="O225" s="1068">
        <f>9589.52*0.45</f>
        <v>4315.2840000000006</v>
      </c>
      <c r="P225" s="1068">
        <f>8492.18*0.45</f>
        <v>3821.4810000000002</v>
      </c>
      <c r="S225"/>
      <c r="T225"/>
      <c r="U225"/>
      <c r="V225"/>
      <c r="W225"/>
      <c r="X225"/>
      <c r="Y225"/>
      <c r="Z225"/>
      <c r="AA225"/>
      <c r="AB225"/>
      <c r="AC225"/>
      <c r="AD225"/>
      <c r="AE225"/>
    </row>
    <row r="226" spans="2:32" s="1294" customFormat="1" ht="18" customHeight="1">
      <c r="B226" s="1356" t="s">
        <v>817</v>
      </c>
      <c r="C226" s="1345" t="s">
        <v>741</v>
      </c>
      <c r="D226" s="1039">
        <f t="shared" si="122"/>
        <v>163171.35999999999</v>
      </c>
      <c r="E226" s="1039">
        <f>IF(SUM(E227:E227)&gt;0,SUM(E227:E227),0)</f>
        <v>9495.1999999999989</v>
      </c>
      <c r="F226" s="1039">
        <f t="shared" ref="F226:P226" si="127">IF(SUM(F227:F227)&gt;0,SUM(F227:F227),0)</f>
        <v>14607.999999999996</v>
      </c>
      <c r="G226" s="1039">
        <f t="shared" si="127"/>
        <v>15922.719999999998</v>
      </c>
      <c r="H226" s="1039">
        <f t="shared" si="127"/>
        <v>15630.559999999998</v>
      </c>
      <c r="I226" s="1039">
        <f t="shared" si="127"/>
        <v>14169.759999999998</v>
      </c>
      <c r="J226" s="1039">
        <f t="shared" si="127"/>
        <v>24979.679999999993</v>
      </c>
      <c r="K226" s="1039">
        <f t="shared" si="127"/>
        <v>16068.8</v>
      </c>
      <c r="L226" s="1039">
        <f t="shared" si="127"/>
        <v>11102.079999999998</v>
      </c>
      <c r="M226" s="1039">
        <f t="shared" si="127"/>
        <v>11102.079999999998</v>
      </c>
      <c r="N226" s="1039">
        <f t="shared" si="127"/>
        <v>9203.0399999999991</v>
      </c>
      <c r="O226" s="1039">
        <f t="shared" si="127"/>
        <v>8034.3999999999987</v>
      </c>
      <c r="P226" s="1039">
        <f t="shared" si="127"/>
        <v>12855.039999999997</v>
      </c>
      <c r="R226"/>
      <c r="S226"/>
      <c r="T226"/>
      <c r="U226"/>
      <c r="V226"/>
      <c r="W226"/>
      <c r="X226"/>
      <c r="Y226"/>
      <c r="Z226"/>
      <c r="AA226"/>
      <c r="AB226"/>
      <c r="AC226"/>
      <c r="AD226"/>
      <c r="AE226"/>
      <c r="AF226"/>
    </row>
    <row r="227" spans="2:32" ht="18" customHeight="1" outlineLevel="1" thickBot="1">
      <c r="B227" s="1142" t="s">
        <v>817</v>
      </c>
      <c r="C227" s="1028" t="s">
        <v>721</v>
      </c>
      <c r="D227" s="1041">
        <f t="shared" si="122"/>
        <v>163171.35999999999</v>
      </c>
      <c r="E227" s="1038">
        <v>9495.1999999999989</v>
      </c>
      <c r="F227" s="1038">
        <v>14607.999999999996</v>
      </c>
      <c r="G227" s="1038">
        <v>15922.719999999998</v>
      </c>
      <c r="H227" s="1038">
        <v>15630.559999999998</v>
      </c>
      <c r="I227" s="1038">
        <v>14169.759999999998</v>
      </c>
      <c r="J227" s="1038">
        <v>24979.679999999993</v>
      </c>
      <c r="K227" s="1038">
        <v>16068.8</v>
      </c>
      <c r="L227" s="1038">
        <v>11102.079999999998</v>
      </c>
      <c r="M227" s="1038">
        <v>11102.079999999998</v>
      </c>
      <c r="N227" s="1038">
        <v>9203.0399999999991</v>
      </c>
      <c r="O227" s="1038">
        <v>8034.3999999999987</v>
      </c>
      <c r="P227" s="1038">
        <v>12855.039999999997</v>
      </c>
      <c r="S227"/>
      <c r="T227"/>
      <c r="U227"/>
      <c r="V227"/>
      <c r="W227"/>
      <c r="X227"/>
      <c r="Y227"/>
      <c r="Z227"/>
      <c r="AA227"/>
      <c r="AB227"/>
      <c r="AC227"/>
      <c r="AD227"/>
      <c r="AE227"/>
    </row>
    <row r="228" spans="2:32" s="1294" customFormat="1" ht="18" customHeight="1" thickTop="1" thickBot="1">
      <c r="B228" s="1356" t="s">
        <v>817</v>
      </c>
      <c r="C228" s="1348" t="s">
        <v>739</v>
      </c>
      <c r="D228" s="1048">
        <f>IFERROR(SUM(E228:P228),"")</f>
        <v>904114.93665549927</v>
      </c>
      <c r="E228" s="1048">
        <f>(E217-E219-E226)</f>
        <v>-168081.68730285708</v>
      </c>
      <c r="F228" s="1048">
        <f t="shared" ref="F228:P228" si="128">(F217-F219-F226)</f>
        <v>-80299.960415310983</v>
      </c>
      <c r="G228" s="1048">
        <f t="shared" si="128"/>
        <v>372324.59311361739</v>
      </c>
      <c r="H228" s="1048">
        <f t="shared" si="128"/>
        <v>7924.6929894476343</v>
      </c>
      <c r="I228" s="1048">
        <f t="shared" si="128"/>
        <v>110014.99406659747</v>
      </c>
      <c r="J228" s="1048">
        <f t="shared" si="128"/>
        <v>594927.37272301363</v>
      </c>
      <c r="K228" s="1048">
        <f t="shared" si="128"/>
        <v>-354686.12100228586</v>
      </c>
      <c r="L228" s="1048">
        <f t="shared" si="128"/>
        <v>113000.8595399928</v>
      </c>
      <c r="M228" s="1048">
        <f t="shared" si="128"/>
        <v>-44196.114700000006</v>
      </c>
      <c r="N228" s="1048">
        <f t="shared" si="128"/>
        <v>25211.518099999994</v>
      </c>
      <c r="O228" s="1048">
        <f t="shared" si="128"/>
        <v>171697.93142899859</v>
      </c>
      <c r="P228" s="1048">
        <f t="shared" si="128"/>
        <v>156276.85811428571</v>
      </c>
      <c r="R228"/>
      <c r="S228"/>
      <c r="T228"/>
      <c r="U228"/>
      <c r="V228"/>
      <c r="W228"/>
      <c r="X228"/>
      <c r="Y228"/>
      <c r="Z228"/>
      <c r="AA228"/>
      <c r="AB228"/>
      <c r="AC228"/>
      <c r="AD228"/>
      <c r="AE228"/>
      <c r="AF228"/>
    </row>
    <row r="229" spans="2:32" s="1294" customFormat="1" ht="15.75" outlineLevel="1" thickTop="1">
      <c r="B229" s="1142" t="s">
        <v>817</v>
      </c>
      <c r="C229" s="1358"/>
      <c r="D229" s="1056">
        <f t="shared" ref="D229:P229" si="129">IFERROR(D228/D198,"")</f>
        <v>0.17614749554935846</v>
      </c>
      <c r="E229" s="1056">
        <f t="shared" si="129"/>
        <v>-0.39534911366727332</v>
      </c>
      <c r="F229" s="1056">
        <f t="shared" si="129"/>
        <v>-0.70530282068840389</v>
      </c>
      <c r="G229" s="1056">
        <f t="shared" si="129"/>
        <v>0.4194923082536588</v>
      </c>
      <c r="H229" s="1056">
        <f t="shared" si="129"/>
        <v>1.832298957097719E-2</v>
      </c>
      <c r="I229" s="1056">
        <f t="shared" si="129"/>
        <v>0.16889525939788982</v>
      </c>
      <c r="J229" s="1056">
        <f t="shared" si="129"/>
        <v>0.66395921199403329</v>
      </c>
      <c r="K229" s="1056">
        <f t="shared" si="129"/>
        <v>-0.89442524814472213</v>
      </c>
      <c r="L229" s="1056">
        <f t="shared" si="129"/>
        <v>0.32076090590136763</v>
      </c>
      <c r="M229" s="1056">
        <f t="shared" si="129"/>
        <v>-0.36459424764890286</v>
      </c>
      <c r="N229" s="1056">
        <f t="shared" si="129"/>
        <v>0.13978752079221093</v>
      </c>
      <c r="O229" s="1056">
        <f t="shared" si="129"/>
        <v>0.44862544792275971</v>
      </c>
      <c r="P229" s="1056">
        <f t="shared" si="129"/>
        <v>0.53317158901935713</v>
      </c>
      <c r="R229"/>
      <c r="S229"/>
      <c r="T229"/>
      <c r="U229"/>
      <c r="V229"/>
      <c r="W229"/>
      <c r="X229"/>
      <c r="Y229"/>
      <c r="Z229"/>
      <c r="AA229"/>
      <c r="AB229"/>
      <c r="AC229"/>
      <c r="AD229"/>
      <c r="AE229"/>
      <c r="AF229"/>
    </row>
    <row r="230" spans="2:32" s="1294" customFormat="1" ht="18" customHeight="1">
      <c r="B230" s="1356" t="s">
        <v>817</v>
      </c>
      <c r="C230" s="1349" t="s">
        <v>728</v>
      </c>
      <c r="D230" s="1066">
        <f t="shared" ref="D230" si="130">IF(SUM(E230:P230)&gt;0,SUM(E230:P230),"")</f>
        <v>220507.46</v>
      </c>
      <c r="E230" s="1067"/>
      <c r="F230" s="1067"/>
      <c r="G230" s="1067"/>
      <c r="H230" s="1067"/>
      <c r="I230" s="1067"/>
      <c r="J230" s="1067">
        <v>59422.83</v>
      </c>
      <c r="K230" s="1067">
        <v>1675</v>
      </c>
      <c r="L230" s="1067">
        <v>15882.07</v>
      </c>
      <c r="M230" s="1067">
        <v>7488.36</v>
      </c>
      <c r="N230" s="1067">
        <v>131750.35999999999</v>
      </c>
      <c r="O230" s="1067">
        <v>1316</v>
      </c>
      <c r="P230" s="1067">
        <v>2972.84</v>
      </c>
      <c r="R230"/>
      <c r="S230"/>
      <c r="T230"/>
      <c r="U230"/>
      <c r="V230"/>
      <c r="W230"/>
      <c r="X230"/>
      <c r="Y230"/>
      <c r="Z230"/>
      <c r="AA230"/>
      <c r="AB230"/>
      <c r="AC230"/>
      <c r="AD230"/>
      <c r="AE230"/>
      <c r="AF230"/>
    </row>
    <row r="231" spans="2:32" s="1294" customFormat="1" ht="18" customHeight="1">
      <c r="B231" s="1356" t="s">
        <v>817</v>
      </c>
      <c r="C231" s="1350" t="s">
        <v>742</v>
      </c>
      <c r="D231" s="1249">
        <f>SUMPRODUCT(E231:P231,E178:P178)/SUM(E178:P178)</f>
        <v>1.2553942036315073</v>
      </c>
      <c r="E231" s="1250">
        <f>SUM(E232:E234)</f>
        <v>0.6360046857021997</v>
      </c>
      <c r="F231" s="1250">
        <f t="shared" ref="F231:P231" si="131">SUM(F232:F234)</f>
        <v>2.6820469492119088</v>
      </c>
      <c r="G231" s="1250">
        <f t="shared" si="131"/>
        <v>2.1843139705214285</v>
      </c>
      <c r="H231" s="1250">
        <f t="shared" si="131"/>
        <v>1.3647109747572814</v>
      </c>
      <c r="I231" s="1250">
        <f t="shared" si="131"/>
        <v>0.45845589927007302</v>
      </c>
      <c r="J231" s="1250">
        <f t="shared" si="131"/>
        <v>4.2157316363636363</v>
      </c>
      <c r="K231" s="1250">
        <f t="shared" si="131"/>
        <v>1.0352872628120893</v>
      </c>
      <c r="L231" s="1250">
        <f t="shared" si="131"/>
        <v>1.8814549285714284</v>
      </c>
      <c r="M231" s="1250">
        <f t="shared" si="131"/>
        <v>2.9243724944444445</v>
      </c>
      <c r="N231" s="1250">
        <f t="shared" si="131"/>
        <v>3.1800933729166672</v>
      </c>
      <c r="O231" s="1250">
        <f t="shared" si="131"/>
        <v>0.83593231160220993</v>
      </c>
      <c r="P231" s="1250">
        <f t="shared" si="131"/>
        <v>0.87556935177865602</v>
      </c>
      <c r="Q231" s="1246"/>
      <c r="R231"/>
      <c r="S231"/>
      <c r="T231"/>
      <c r="U231"/>
      <c r="V231"/>
      <c r="W231"/>
      <c r="X231"/>
      <c r="Y231"/>
      <c r="Z231"/>
      <c r="AA231"/>
      <c r="AB231"/>
      <c r="AC231"/>
      <c r="AD231"/>
      <c r="AE231"/>
      <c r="AF231"/>
    </row>
    <row r="232" spans="2:32" ht="18" customHeight="1" outlineLevel="1">
      <c r="B232" s="1142" t="s">
        <v>817</v>
      </c>
      <c r="C232" s="1058" t="s">
        <v>876</v>
      </c>
      <c r="D232" s="1248">
        <f>SUMPRODUCT(E232:P232,E178:P178)/SUM(E178:P178)</f>
        <v>0.69423880911874791</v>
      </c>
      <c r="E232" s="1251">
        <f>SUM(E209:E216)/E178</f>
        <v>0.34004060913705586</v>
      </c>
      <c r="F232" s="1251">
        <f>SUM(F209:F216)/F178</f>
        <v>1.5444695271453588</v>
      </c>
      <c r="G232" s="1251">
        <f t="shared" ref="G232:P232" si="132">SUM(G209:G216)/G178</f>
        <v>1.183991142857143</v>
      </c>
      <c r="H232" s="1251">
        <f t="shared" si="132"/>
        <v>0.67447747572815531</v>
      </c>
      <c r="I232" s="1251">
        <f t="shared" si="132"/>
        <v>0.21881781021897811</v>
      </c>
      <c r="J232" s="1251">
        <f t="shared" si="132"/>
        <v>2.3142377272727273</v>
      </c>
      <c r="K232" s="1251">
        <f t="shared" si="132"/>
        <v>0.5670544021024968</v>
      </c>
      <c r="L232" s="1251">
        <f t="shared" si="132"/>
        <v>1.1699648979591837</v>
      </c>
      <c r="M232" s="1251">
        <f t="shared" si="132"/>
        <v>1.7818983333333336</v>
      </c>
      <c r="N232" s="1251">
        <f t="shared" si="132"/>
        <v>1.8301345833333336</v>
      </c>
      <c r="O232" s="1251">
        <f t="shared" si="132"/>
        <v>0.48005640883977901</v>
      </c>
      <c r="P232" s="1251">
        <f t="shared" si="132"/>
        <v>0.43184848484848487</v>
      </c>
      <c r="S232"/>
      <c r="T232"/>
      <c r="U232"/>
      <c r="V232"/>
      <c r="W232"/>
      <c r="X232"/>
      <c r="Y232"/>
      <c r="Z232"/>
      <c r="AA232"/>
      <c r="AB232"/>
      <c r="AC232"/>
      <c r="AD232"/>
      <c r="AE232"/>
    </row>
    <row r="233" spans="2:32" ht="18" customHeight="1" outlineLevel="1">
      <c r="B233" s="1142" t="s">
        <v>817</v>
      </c>
      <c r="C233" s="1058" t="s">
        <v>877</v>
      </c>
      <c r="D233" s="1248">
        <f>SUMPRODUCT(E233:P233,E178:P178)/SUM(E178:P178)</f>
        <v>0.45011670107961899</v>
      </c>
      <c r="E233" s="1251">
        <f>(E219/E178)</f>
        <v>0.25579825592216582</v>
      </c>
      <c r="F233" s="1251">
        <f>(F219/F178)</f>
        <v>0.88174554816112083</v>
      </c>
      <c r="G233" s="1251">
        <f t="shared" ref="G233:P233" si="133">(G219/G178)</f>
        <v>0.77285539909285705</v>
      </c>
      <c r="H233" s="1251">
        <f t="shared" si="133"/>
        <v>0.53848048932038828</v>
      </c>
      <c r="I233" s="1251">
        <f t="shared" si="133"/>
        <v>0.18792363649635035</v>
      </c>
      <c r="J233" s="1251">
        <f t="shared" si="133"/>
        <v>1.3337739090909091</v>
      </c>
      <c r="K233" s="1251">
        <f t="shared" si="133"/>
        <v>0.36265598817345596</v>
      </c>
      <c r="L233" s="1251">
        <f t="shared" si="133"/>
        <v>0.59820349999999989</v>
      </c>
      <c r="M233" s="1251">
        <f t="shared" si="133"/>
        <v>0.93688008703703696</v>
      </c>
      <c r="N233" s="1251">
        <f t="shared" si="133"/>
        <v>1.1582287895833334</v>
      </c>
      <c r="O233" s="1251">
        <f t="shared" si="133"/>
        <v>0.31148695248618785</v>
      </c>
      <c r="P233" s="1251">
        <f t="shared" si="133"/>
        <v>0.35903680895915674</v>
      </c>
      <c r="S233"/>
      <c r="T233"/>
      <c r="U233"/>
      <c r="V233"/>
      <c r="W233"/>
      <c r="X233"/>
      <c r="Y233"/>
      <c r="Z233"/>
      <c r="AA233"/>
      <c r="AB233"/>
      <c r="AC233"/>
      <c r="AD233"/>
      <c r="AE233"/>
    </row>
    <row r="234" spans="2:32" ht="18" customHeight="1" outlineLevel="1">
      <c r="B234" s="1142" t="s">
        <v>817</v>
      </c>
      <c r="C234" s="1058" t="s">
        <v>878</v>
      </c>
      <c r="D234" s="1248">
        <f>SUMPRODUCT(E234:P234,E178:P178)/SUM(E178:P178)</f>
        <v>0.11103869343314052</v>
      </c>
      <c r="E234" s="1251">
        <f>(E226/E178)</f>
        <v>4.0165820642978002E-2</v>
      </c>
      <c r="F234" s="1251">
        <f>(F226/F178)</f>
        <v>0.255831873905429</v>
      </c>
      <c r="G234" s="1251">
        <f t="shared" ref="G234:P234" si="134">(G226/G178)</f>
        <v>0.22746742857142854</v>
      </c>
      <c r="H234" s="1251">
        <f t="shared" si="134"/>
        <v>0.15175300970873784</v>
      </c>
      <c r="I234" s="1251">
        <f t="shared" si="134"/>
        <v>5.1714452554744522E-2</v>
      </c>
      <c r="J234" s="1251">
        <f t="shared" si="134"/>
        <v>0.56771999999999989</v>
      </c>
      <c r="K234" s="1251">
        <f t="shared" si="134"/>
        <v>0.10557687253613665</v>
      </c>
      <c r="L234" s="1251">
        <f t="shared" si="134"/>
        <v>0.11328653061224488</v>
      </c>
      <c r="M234" s="1251">
        <f t="shared" si="134"/>
        <v>0.20559407407407404</v>
      </c>
      <c r="N234" s="1251">
        <f t="shared" si="134"/>
        <v>0.19172999999999998</v>
      </c>
      <c r="O234" s="1251">
        <f t="shared" si="134"/>
        <v>4.4388950276243087E-2</v>
      </c>
      <c r="P234" s="1251">
        <f t="shared" si="134"/>
        <v>8.468405797101447E-2</v>
      </c>
      <c r="S234"/>
      <c r="T234"/>
      <c r="U234"/>
      <c r="V234"/>
      <c r="W234"/>
      <c r="X234"/>
      <c r="Y234"/>
      <c r="Z234"/>
      <c r="AA234"/>
      <c r="AB234"/>
      <c r="AC234"/>
      <c r="AD234"/>
      <c r="AE234"/>
    </row>
    <row r="235" spans="2:32" ht="18" customHeight="1" outlineLevel="1">
      <c r="B235" s="1142" t="s">
        <v>817</v>
      </c>
      <c r="C235" s="1063" t="s">
        <v>883</v>
      </c>
      <c r="D235" s="1248">
        <f>SUMPRODUCT(E235:P235,E178:P178)/SUM(E178:P178)</f>
        <v>3.1384855090787686E-2</v>
      </c>
      <c r="E235" s="1046">
        <f>(E231*0.025)</f>
        <v>1.5900117142554994E-2</v>
      </c>
      <c r="F235" s="1046">
        <f t="shared" ref="F235:P235" si="135">(F231*0.025)</f>
        <v>6.7051173730297717E-2</v>
      </c>
      <c r="G235" s="1046">
        <f t="shared" si="135"/>
        <v>5.4607849263035718E-2</v>
      </c>
      <c r="H235" s="1046">
        <f t="shared" si="135"/>
        <v>3.4117774368932034E-2</v>
      </c>
      <c r="I235" s="1046">
        <f t="shared" si="135"/>
        <v>1.1461397481751826E-2</v>
      </c>
      <c r="J235" s="1046">
        <f t="shared" si="135"/>
        <v>0.10539329090909091</v>
      </c>
      <c r="K235" s="1046">
        <f t="shared" si="135"/>
        <v>2.5882181570302233E-2</v>
      </c>
      <c r="L235" s="1046">
        <f t="shared" si="135"/>
        <v>4.7036373214285714E-2</v>
      </c>
      <c r="M235" s="1046">
        <f t="shared" si="135"/>
        <v>7.3109312361111109E-2</v>
      </c>
      <c r="N235" s="1046">
        <f t="shared" si="135"/>
        <v>7.9502334322916687E-2</v>
      </c>
      <c r="O235" s="1046">
        <f t="shared" si="135"/>
        <v>2.0898307790055248E-2</v>
      </c>
      <c r="P235" s="1046">
        <f t="shared" si="135"/>
        <v>2.1889233794466403E-2</v>
      </c>
      <c r="S235"/>
      <c r="T235"/>
      <c r="U235"/>
      <c r="V235"/>
      <c r="W235"/>
      <c r="X235"/>
      <c r="Y235"/>
      <c r="Z235"/>
      <c r="AA235"/>
      <c r="AB235"/>
      <c r="AC235"/>
      <c r="AD235"/>
      <c r="AE235"/>
    </row>
    <row r="236" spans="2:32" ht="18" customHeight="1" outlineLevel="1">
      <c r="B236" s="1142" t="s">
        <v>817</v>
      </c>
      <c r="C236" s="1063" t="s">
        <v>884</v>
      </c>
      <c r="D236" s="1248">
        <f>SUMPRODUCT(E236:P236,E178:P178)/SUM(E178:P178)</f>
        <v>0.25107884072630149</v>
      </c>
      <c r="E236" s="1046">
        <f>(E231*0.2)</f>
        <v>0.12720093714043995</v>
      </c>
      <c r="F236" s="1046">
        <f t="shared" ref="F236:P236" si="136">(F231*0.2)</f>
        <v>0.53640938984238173</v>
      </c>
      <c r="G236" s="1046">
        <f t="shared" si="136"/>
        <v>0.43686279410428575</v>
      </c>
      <c r="H236" s="1046">
        <f t="shared" si="136"/>
        <v>0.27294219495145627</v>
      </c>
      <c r="I236" s="1046">
        <f t="shared" si="136"/>
        <v>9.1691179854014607E-2</v>
      </c>
      <c r="J236" s="1046">
        <f t="shared" si="136"/>
        <v>0.84314632727272731</v>
      </c>
      <c r="K236" s="1046">
        <f t="shared" si="136"/>
        <v>0.20705745256241787</v>
      </c>
      <c r="L236" s="1046">
        <f t="shared" si="136"/>
        <v>0.37629098571428571</v>
      </c>
      <c r="M236" s="1046">
        <f t="shared" si="136"/>
        <v>0.58487449888888887</v>
      </c>
      <c r="N236" s="1046">
        <f t="shared" si="136"/>
        <v>0.6360186745833335</v>
      </c>
      <c r="O236" s="1046">
        <f t="shared" si="136"/>
        <v>0.16718646232044199</v>
      </c>
      <c r="P236" s="1046">
        <f t="shared" si="136"/>
        <v>0.17511387035573123</v>
      </c>
      <c r="S236"/>
      <c r="T236"/>
      <c r="U236"/>
      <c r="V236"/>
      <c r="W236"/>
      <c r="X236"/>
      <c r="Y236"/>
      <c r="Z236"/>
      <c r="AA236"/>
      <c r="AB236"/>
      <c r="AC236"/>
      <c r="AD236"/>
      <c r="AE236"/>
    </row>
    <row r="237" spans="2:32" ht="18" customHeight="1" outlineLevel="1">
      <c r="B237" s="1142" t="s">
        <v>817</v>
      </c>
      <c r="C237" s="1063" t="s">
        <v>879</v>
      </c>
      <c r="D237" s="1248">
        <f>SUMPRODUCT(E237:P237,E178:P178)/SUM(E178:P178)</f>
        <v>0.69046681199732896</v>
      </c>
      <c r="E237" s="1046">
        <f>(E231*0.55)</f>
        <v>0.34980257713620988</v>
      </c>
      <c r="F237" s="1046">
        <f t="shared" ref="F237:P237" si="137">(F231*0.55)</f>
        <v>1.47512582206655</v>
      </c>
      <c r="G237" s="1046">
        <f t="shared" si="137"/>
        <v>1.2013726837867857</v>
      </c>
      <c r="H237" s="1046">
        <f t="shared" si="137"/>
        <v>0.7505910361165048</v>
      </c>
      <c r="I237" s="1046">
        <f t="shared" si="137"/>
        <v>0.2521507445985402</v>
      </c>
      <c r="J237" s="1046">
        <f t="shared" si="137"/>
        <v>2.3186524000000004</v>
      </c>
      <c r="K237" s="1046">
        <f t="shared" si="137"/>
        <v>0.56940799454664914</v>
      </c>
      <c r="L237" s="1046">
        <f t="shared" si="137"/>
        <v>1.0348002107142857</v>
      </c>
      <c r="M237" s="1046">
        <f t="shared" si="137"/>
        <v>1.6084048719444446</v>
      </c>
      <c r="N237" s="1046">
        <f t="shared" si="137"/>
        <v>1.7490513551041671</v>
      </c>
      <c r="O237" s="1046">
        <f t="shared" si="137"/>
        <v>0.45976277138121552</v>
      </c>
      <c r="P237" s="1046">
        <f t="shared" si="137"/>
        <v>0.48156314347826085</v>
      </c>
      <c r="S237"/>
      <c r="T237"/>
      <c r="U237"/>
      <c r="V237"/>
      <c r="W237"/>
      <c r="X237"/>
      <c r="Y237"/>
      <c r="Z237"/>
      <c r="AA237"/>
      <c r="AB237"/>
      <c r="AC237"/>
      <c r="AD237"/>
      <c r="AE237"/>
    </row>
    <row r="238" spans="2:32" ht="18" customHeight="1" outlineLevel="1">
      <c r="B238" s="1142" t="s">
        <v>817</v>
      </c>
      <c r="C238" s="1063" t="s">
        <v>880</v>
      </c>
      <c r="D238" s="1248">
        <f>SUMPRODUCT(E238:P238,E178:P178)/SUM(E178:P178)</f>
        <v>0.12553942036315074</v>
      </c>
      <c r="E238" s="1046">
        <f>(E231*0.1)</f>
        <v>6.3600468570219976E-2</v>
      </c>
      <c r="F238" s="1046">
        <f t="shared" ref="F238:P238" si="138">(F231*0.1)</f>
        <v>0.26820469492119087</v>
      </c>
      <c r="G238" s="1046">
        <f t="shared" si="138"/>
        <v>0.21843139705214287</v>
      </c>
      <c r="H238" s="1046">
        <f t="shared" si="138"/>
        <v>0.13647109747572814</v>
      </c>
      <c r="I238" s="1046">
        <f t="shared" si="138"/>
        <v>4.5845589927007303E-2</v>
      </c>
      <c r="J238" s="1046">
        <f t="shared" si="138"/>
        <v>0.42157316363636366</v>
      </c>
      <c r="K238" s="1046">
        <f t="shared" si="138"/>
        <v>0.10352872628120893</v>
      </c>
      <c r="L238" s="1046">
        <f t="shared" si="138"/>
        <v>0.18814549285714285</v>
      </c>
      <c r="M238" s="1046">
        <f t="shared" si="138"/>
        <v>0.29243724944444444</v>
      </c>
      <c r="N238" s="1046">
        <f t="shared" si="138"/>
        <v>0.31800933729166675</v>
      </c>
      <c r="O238" s="1046">
        <f t="shared" si="138"/>
        <v>8.3593231160220993E-2</v>
      </c>
      <c r="P238" s="1046">
        <f t="shared" si="138"/>
        <v>8.7556935177865614E-2</v>
      </c>
      <c r="S238"/>
      <c r="T238"/>
      <c r="U238"/>
      <c r="V238"/>
      <c r="W238"/>
      <c r="X238"/>
      <c r="Y238"/>
      <c r="Z238"/>
      <c r="AA238"/>
      <c r="AB238"/>
      <c r="AC238"/>
      <c r="AD238"/>
      <c r="AE238"/>
    </row>
    <row r="239" spans="2:32" ht="15.75" customHeight="1" outlineLevel="1">
      <c r="B239" s="1142" t="s">
        <v>817</v>
      </c>
      <c r="C239" s="1063" t="s">
        <v>882</v>
      </c>
      <c r="D239" s="1248">
        <f>SUMPRODUCT(E239:P239,E178:P178)/SUM(E178:P178)</f>
        <v>0.15692427545393842</v>
      </c>
      <c r="E239" s="1046">
        <f>(E231*0.125)</f>
        <v>7.9500585712774963E-2</v>
      </c>
      <c r="F239" s="1046">
        <f t="shared" ref="F239:P239" si="139">(F231*0.125)</f>
        <v>0.3352558686514886</v>
      </c>
      <c r="G239" s="1046">
        <f t="shared" si="139"/>
        <v>0.27303924631517856</v>
      </c>
      <c r="H239" s="1046">
        <f t="shared" si="139"/>
        <v>0.17058887184466018</v>
      </c>
      <c r="I239" s="1046">
        <f t="shared" si="139"/>
        <v>5.7306987408759127E-2</v>
      </c>
      <c r="J239" s="1046">
        <f t="shared" si="139"/>
        <v>0.52696645454545454</v>
      </c>
      <c r="K239" s="1046">
        <f t="shared" si="139"/>
        <v>0.12941090785151116</v>
      </c>
      <c r="L239" s="1046">
        <f t="shared" si="139"/>
        <v>0.23518186607142855</v>
      </c>
      <c r="M239" s="1046">
        <f t="shared" si="139"/>
        <v>0.36554656180555556</v>
      </c>
      <c r="N239" s="1046">
        <f t="shared" si="139"/>
        <v>0.3975116716145834</v>
      </c>
      <c r="O239" s="1046">
        <f t="shared" si="139"/>
        <v>0.10449153895027624</v>
      </c>
      <c r="P239" s="1046">
        <f t="shared" si="139"/>
        <v>0.109446168972332</v>
      </c>
      <c r="S239"/>
      <c r="T239"/>
      <c r="U239"/>
      <c r="V239"/>
      <c r="W239"/>
      <c r="X239"/>
      <c r="Y239"/>
      <c r="Z239"/>
      <c r="AA239"/>
      <c r="AB239"/>
      <c r="AC239"/>
      <c r="AD239"/>
      <c r="AE239"/>
    </row>
    <row r="240" spans="2:32" ht="18" customHeight="1">
      <c r="S240"/>
      <c r="T240"/>
      <c r="U240"/>
      <c r="V240"/>
      <c r="W240"/>
      <c r="X240"/>
      <c r="Y240"/>
      <c r="Z240"/>
      <c r="AA240"/>
      <c r="AB240"/>
      <c r="AC240"/>
      <c r="AD240"/>
      <c r="AE240"/>
    </row>
    <row r="241" spans="19:31" ht="18" customHeight="1">
      <c r="S241"/>
      <c r="T241"/>
      <c r="U241"/>
      <c r="V241"/>
      <c r="W241"/>
      <c r="X241"/>
      <c r="Y241"/>
      <c r="Z241"/>
      <c r="AA241"/>
      <c r="AB241"/>
      <c r="AC241"/>
      <c r="AD241"/>
      <c r="AE241"/>
    </row>
    <row r="242" spans="19:31">
      <c r="S242"/>
      <c r="T242"/>
      <c r="U242"/>
      <c r="V242"/>
      <c r="W242"/>
      <c r="X242"/>
      <c r="Y242"/>
      <c r="Z242"/>
      <c r="AA242"/>
      <c r="AB242"/>
      <c r="AC242"/>
      <c r="AD242"/>
      <c r="AE242"/>
    </row>
    <row r="243" spans="19:31">
      <c r="S243"/>
      <c r="T243"/>
      <c r="U243"/>
      <c r="V243"/>
      <c r="W243"/>
      <c r="X243"/>
      <c r="Y243"/>
      <c r="Z243"/>
      <c r="AA243"/>
      <c r="AB243"/>
      <c r="AC243"/>
      <c r="AD243"/>
      <c r="AE243"/>
    </row>
  </sheetData>
  <autoFilter ref="B2:P239" xr:uid="{A65F5C43-DBD2-4642-910F-2DCE3A2F4385}"/>
  <pageMargins left="0.7" right="0.7" top="0.75" bottom="0.75" header="0.3" footer="0.3"/>
  <pageSetup paperSize="9" orientation="portrait" horizontalDpi="1200" verticalDpi="120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FC0EC-5641-4F1C-B345-6FB7C7B4DE71}">
  <sheetPr filterMode="1"/>
  <dimension ref="B1:AA66"/>
  <sheetViews>
    <sheetView topLeftCell="B5" workbookViewId="0">
      <pane xSplit="2" ySplit="4" topLeftCell="G9" activePane="bottomRight" state="frozen"/>
      <selection activeCell="B5" sqref="B5"/>
      <selection pane="topRight" activeCell="D5" sqref="D5"/>
      <selection pane="bottomLeft" activeCell="B9" sqref="B9"/>
      <selection pane="bottomRight" activeCell="H67" sqref="H67"/>
    </sheetView>
  </sheetViews>
  <sheetFormatPr baseColWidth="10" defaultRowHeight="15"/>
  <cols>
    <col min="2" max="2" width="7.140625" bestFit="1" customWidth="1"/>
    <col min="3" max="3" width="12.85546875" bestFit="1" customWidth="1"/>
    <col min="4" max="5" width="12.5703125" style="1519" customWidth="1"/>
    <col min="6" max="12" width="12.5703125" style="77" customWidth="1"/>
    <col min="13" max="13" width="12.5703125" style="1539" customWidth="1"/>
    <col min="14" max="14" width="12.5703125" hidden="1" customWidth="1"/>
    <col min="15" max="15" width="13.5703125" customWidth="1"/>
    <col min="16" max="17" width="12.5703125" style="1519" customWidth="1"/>
    <col min="18" max="18" width="10.140625" style="77" customWidth="1"/>
    <col min="19" max="19" width="10.85546875" style="77" customWidth="1"/>
    <col min="20" max="20" width="10.42578125" style="77" customWidth="1"/>
    <col min="21" max="21" width="10.28515625" style="77" customWidth="1"/>
    <col min="22" max="22" width="10.5703125" style="77" customWidth="1"/>
    <col min="23" max="23" width="10.42578125" style="77" customWidth="1"/>
    <col min="24" max="24" width="9.140625" style="77" customWidth="1"/>
    <col min="25" max="26" width="12.5703125" customWidth="1"/>
    <col min="27" max="27" width="14.42578125" customWidth="1"/>
  </cols>
  <sheetData>
    <row r="1" spans="2:27">
      <c r="B1" s="1297"/>
    </row>
    <row r="2" spans="2:27">
      <c r="B2" s="1297"/>
    </row>
    <row r="3" spans="2:27">
      <c r="B3" s="1297"/>
    </row>
    <row r="5" spans="2:27">
      <c r="C5" s="1298">
        <f>(C7/P6)+11</f>
        <v>21.564285714285717</v>
      </c>
    </row>
    <row r="6" spans="2:27">
      <c r="C6" s="1297">
        <f>SUM(P7:W7)+11</f>
        <v>21.564285714285717</v>
      </c>
      <c r="D6" s="1070"/>
      <c r="E6" s="1070"/>
      <c r="F6" s="1295"/>
      <c r="G6" s="1295"/>
      <c r="H6" s="1295"/>
      <c r="I6" s="1295"/>
      <c r="J6" s="1295"/>
      <c r="K6" s="1295"/>
      <c r="L6" s="1295"/>
      <c r="P6" s="1296">
        <v>1.4</v>
      </c>
      <c r="Q6" s="1070"/>
      <c r="R6" s="1295"/>
      <c r="S6" s="1295"/>
      <c r="T6" s="1295"/>
      <c r="U6" s="1295"/>
      <c r="V6" s="1295"/>
      <c r="W6" s="1295"/>
      <c r="X6" s="1295"/>
    </row>
    <row r="7" spans="2:27">
      <c r="B7" t="s">
        <v>998</v>
      </c>
      <c r="C7" s="1297">
        <f>SUM(D7:K7)</f>
        <v>14.79</v>
      </c>
      <c r="D7" s="1070">
        <f t="shared" ref="D7:L7" si="0">SUBTOTAL(9,D9:D66)</f>
        <v>0</v>
      </c>
      <c r="E7" s="1070">
        <f t="shared" si="0"/>
        <v>0</v>
      </c>
      <c r="F7" s="1070">
        <f t="shared" si="0"/>
        <v>0</v>
      </c>
      <c r="G7" s="1070">
        <f t="shared" si="0"/>
        <v>0</v>
      </c>
      <c r="H7" s="1070">
        <f t="shared" si="0"/>
        <v>0</v>
      </c>
      <c r="I7" s="1070">
        <f t="shared" si="0"/>
        <v>0</v>
      </c>
      <c r="J7" s="1070">
        <f t="shared" si="0"/>
        <v>12.25</v>
      </c>
      <c r="K7" s="1070">
        <f t="shared" si="0"/>
        <v>2.54</v>
      </c>
      <c r="L7" s="1070">
        <f t="shared" si="0"/>
        <v>14.79</v>
      </c>
      <c r="O7" s="78">
        <f>SUBTOTAL(9,O9:O65)</f>
        <v>813.45</v>
      </c>
      <c r="P7" s="1070">
        <f t="shared" ref="P7:Z7" si="1">SUBTOTAL(9,P9:P67)</f>
        <v>0</v>
      </c>
      <c r="Q7" s="1070">
        <f t="shared" si="1"/>
        <v>0</v>
      </c>
      <c r="R7" s="1070">
        <f t="shared" si="1"/>
        <v>0</v>
      </c>
      <c r="S7" s="1070">
        <f t="shared" si="1"/>
        <v>0</v>
      </c>
      <c r="T7" s="1070">
        <f t="shared" si="1"/>
        <v>0</v>
      </c>
      <c r="U7" s="1070">
        <f t="shared" si="1"/>
        <v>0</v>
      </c>
      <c r="V7" s="1070">
        <f t="shared" si="1"/>
        <v>8.75</v>
      </c>
      <c r="W7" s="1070">
        <f t="shared" si="1"/>
        <v>1.8142857142857145</v>
      </c>
      <c r="X7" s="1070">
        <f t="shared" si="1"/>
        <v>10.564285714285715</v>
      </c>
      <c r="Y7" s="1070">
        <f t="shared" si="1"/>
        <v>539</v>
      </c>
      <c r="Z7" s="1070">
        <f t="shared" si="1"/>
        <v>0</v>
      </c>
      <c r="AA7" s="78">
        <f>SUBTOTAL(9,AA9:AA65)</f>
        <v>813.45000000000016</v>
      </c>
    </row>
    <row r="8" spans="2:27" ht="48.75" customHeight="1">
      <c r="B8" s="1457" t="s">
        <v>0</v>
      </c>
      <c r="C8" s="1457" t="s">
        <v>57</v>
      </c>
      <c r="D8" s="1458" t="s">
        <v>912</v>
      </c>
      <c r="E8" s="1458" t="s">
        <v>913</v>
      </c>
      <c r="F8" s="1458" t="s">
        <v>914</v>
      </c>
      <c r="G8" s="1458" t="s">
        <v>915</v>
      </c>
      <c r="H8" s="1458" t="s">
        <v>916</v>
      </c>
      <c r="I8" s="1458" t="s">
        <v>945</v>
      </c>
      <c r="J8" s="1458" t="s">
        <v>917</v>
      </c>
      <c r="K8" s="1458" t="s">
        <v>918</v>
      </c>
      <c r="L8" s="1458" t="s">
        <v>926</v>
      </c>
      <c r="M8" s="1458" t="s">
        <v>931</v>
      </c>
      <c r="N8" s="1458" t="s">
        <v>932</v>
      </c>
      <c r="O8" s="1458" t="s">
        <v>930</v>
      </c>
      <c r="P8" s="1458" t="s">
        <v>919</v>
      </c>
      <c r="Q8" s="1458" t="s">
        <v>920</v>
      </c>
      <c r="R8" s="1458" t="s">
        <v>921</v>
      </c>
      <c r="S8" s="1458" t="s">
        <v>922</v>
      </c>
      <c r="T8" s="1458" t="s">
        <v>923</v>
      </c>
      <c r="U8" s="1458" t="s">
        <v>946</v>
      </c>
      <c r="V8" s="1458" t="s">
        <v>924</v>
      </c>
      <c r="W8" s="1458" t="s">
        <v>925</v>
      </c>
      <c r="X8" s="1458" t="s">
        <v>927</v>
      </c>
      <c r="Y8" s="1458" t="s">
        <v>928</v>
      </c>
      <c r="Z8" s="1458" t="s">
        <v>929</v>
      </c>
      <c r="AA8" s="1458" t="s">
        <v>933</v>
      </c>
    </row>
    <row r="9" spans="2:27" hidden="1">
      <c r="B9">
        <v>3</v>
      </c>
      <c r="C9" s="1459">
        <v>44561</v>
      </c>
      <c r="D9" s="1070"/>
      <c r="E9" s="1070">
        <v>50.8</v>
      </c>
      <c r="F9" s="1295"/>
      <c r="G9" s="1295"/>
      <c r="H9" s="1295"/>
      <c r="I9" s="1295"/>
      <c r="J9" s="1295"/>
      <c r="K9" s="1295"/>
      <c r="L9" s="463">
        <f t="shared" ref="L9:L14" si="2">SUM(D9:K9)</f>
        <v>50.8</v>
      </c>
      <c r="M9" s="480"/>
      <c r="N9" s="78"/>
      <c r="O9" s="78">
        <f t="shared" ref="O9:O65" si="3">(L9*M9)</f>
        <v>0</v>
      </c>
      <c r="P9" s="1070">
        <f t="shared" ref="P9:W25" si="4">(D9/$P$6)</f>
        <v>0</v>
      </c>
      <c r="Q9" s="1460">
        <f t="shared" si="4"/>
        <v>36.285714285714285</v>
      </c>
      <c r="R9" s="1070">
        <f t="shared" si="4"/>
        <v>0</v>
      </c>
      <c r="S9" s="1070">
        <f t="shared" si="4"/>
        <v>0</v>
      </c>
      <c r="T9" s="1070">
        <f t="shared" si="4"/>
        <v>0</v>
      </c>
      <c r="U9" s="1070">
        <f t="shared" si="4"/>
        <v>0</v>
      </c>
      <c r="V9" s="1070">
        <f t="shared" si="4"/>
        <v>0</v>
      </c>
      <c r="W9" s="1070">
        <f t="shared" si="4"/>
        <v>0</v>
      </c>
      <c r="X9" s="463">
        <f t="shared" ref="X9:X65" si="5">SUM(P9:W9)</f>
        <v>36.285714285714285</v>
      </c>
      <c r="Y9" s="78">
        <f>(M9*$P$6)</f>
        <v>0</v>
      </c>
      <c r="Z9" s="78"/>
      <c r="AA9" s="78">
        <f t="shared" ref="AA9:AA61" si="6">(X9*Y9)</f>
        <v>0</v>
      </c>
    </row>
    <row r="10" spans="2:27" hidden="1">
      <c r="B10">
        <v>21</v>
      </c>
      <c r="C10" s="1459">
        <v>44561</v>
      </c>
      <c r="D10" s="1070"/>
      <c r="E10" s="1070"/>
      <c r="F10" s="1295"/>
      <c r="G10" s="1295">
        <v>13.34</v>
      </c>
      <c r="H10" s="1295"/>
      <c r="I10" s="1295"/>
      <c r="J10" s="1295"/>
      <c r="K10" s="1295"/>
      <c r="L10" s="463">
        <f t="shared" si="2"/>
        <v>13.34</v>
      </c>
      <c r="M10" s="480">
        <v>55</v>
      </c>
      <c r="N10" s="78"/>
      <c r="O10" s="78">
        <f t="shared" si="3"/>
        <v>733.7</v>
      </c>
      <c r="P10" s="1070">
        <f t="shared" si="4"/>
        <v>0</v>
      </c>
      <c r="Q10" s="1070">
        <f t="shared" si="4"/>
        <v>0</v>
      </c>
      <c r="R10" s="1070">
        <f t="shared" si="4"/>
        <v>0</v>
      </c>
      <c r="S10" s="1070">
        <f t="shared" si="4"/>
        <v>9.5285714285714285</v>
      </c>
      <c r="T10" s="1070">
        <f t="shared" si="4"/>
        <v>0</v>
      </c>
      <c r="U10" s="1070">
        <f t="shared" si="4"/>
        <v>0</v>
      </c>
      <c r="V10" s="1070">
        <f t="shared" si="4"/>
        <v>0</v>
      </c>
      <c r="W10" s="1070">
        <f t="shared" si="4"/>
        <v>0</v>
      </c>
      <c r="X10" s="463">
        <f t="shared" si="5"/>
        <v>9.5285714285714285</v>
      </c>
      <c r="Y10" s="78">
        <f t="shared" ref="Y10:Y65" si="7">(M10*$P$6)</f>
        <v>77</v>
      </c>
      <c r="Z10" s="78"/>
      <c r="AA10" s="78">
        <f t="shared" si="6"/>
        <v>733.7</v>
      </c>
    </row>
    <row r="11" spans="2:27" hidden="1">
      <c r="B11">
        <v>24</v>
      </c>
      <c r="C11" s="1459">
        <v>44561</v>
      </c>
      <c r="D11" s="1070"/>
      <c r="E11" s="1070"/>
      <c r="F11" s="1295"/>
      <c r="G11" s="1522">
        <v>22.92</v>
      </c>
      <c r="H11" s="1295"/>
      <c r="I11" s="1295"/>
      <c r="J11" s="1295"/>
      <c r="K11" s="1295"/>
      <c r="L11" s="463">
        <f t="shared" si="2"/>
        <v>22.92</v>
      </c>
      <c r="M11" s="480">
        <v>55</v>
      </c>
      <c r="N11" s="78"/>
      <c r="O11" s="78">
        <f t="shared" si="3"/>
        <v>1260.6000000000001</v>
      </c>
      <c r="P11" s="1070">
        <f t="shared" si="4"/>
        <v>0</v>
      </c>
      <c r="Q11" s="1070">
        <f t="shared" si="4"/>
        <v>0</v>
      </c>
      <c r="R11" s="1070">
        <f t="shared" si="4"/>
        <v>0</v>
      </c>
      <c r="S11" s="1070">
        <f t="shared" si="4"/>
        <v>16.371428571428574</v>
      </c>
      <c r="T11" s="1070">
        <f t="shared" si="4"/>
        <v>0</v>
      </c>
      <c r="U11" s="1070">
        <f t="shared" si="4"/>
        <v>0</v>
      </c>
      <c r="V11" s="1070">
        <f t="shared" si="4"/>
        <v>0</v>
      </c>
      <c r="W11" s="1070">
        <f t="shared" si="4"/>
        <v>0</v>
      </c>
      <c r="X11" s="463">
        <f t="shared" si="5"/>
        <v>16.371428571428574</v>
      </c>
      <c r="Y11" s="78">
        <f t="shared" si="7"/>
        <v>77</v>
      </c>
      <c r="Z11" s="78"/>
      <c r="AA11" s="78">
        <f t="shared" si="6"/>
        <v>1260.6000000000001</v>
      </c>
    </row>
    <row r="12" spans="2:27" hidden="1">
      <c r="B12">
        <v>34</v>
      </c>
      <c r="C12" s="1459">
        <v>44561</v>
      </c>
      <c r="D12" s="1070"/>
      <c r="E12" s="1070"/>
      <c r="F12" s="1295"/>
      <c r="G12" s="1522">
        <v>12.94</v>
      </c>
      <c r="H12" s="1295"/>
      <c r="I12" s="1295"/>
      <c r="J12" s="1295"/>
      <c r="K12" s="1295"/>
      <c r="L12" s="463">
        <f t="shared" si="2"/>
        <v>12.94</v>
      </c>
      <c r="M12" s="480">
        <v>55</v>
      </c>
      <c r="N12" s="78"/>
      <c r="O12" s="78">
        <f t="shared" si="3"/>
        <v>711.69999999999993</v>
      </c>
      <c r="P12" s="1070">
        <f t="shared" si="4"/>
        <v>0</v>
      </c>
      <c r="Q12" s="1070">
        <f t="shared" si="4"/>
        <v>0</v>
      </c>
      <c r="R12" s="1070">
        <f t="shared" si="4"/>
        <v>0</v>
      </c>
      <c r="S12" s="1070">
        <f t="shared" si="4"/>
        <v>9.2428571428571438</v>
      </c>
      <c r="T12" s="1070">
        <f t="shared" si="4"/>
        <v>0</v>
      </c>
      <c r="U12" s="1070">
        <f t="shared" si="4"/>
        <v>0</v>
      </c>
      <c r="V12" s="1070">
        <f t="shared" si="4"/>
        <v>0</v>
      </c>
      <c r="W12" s="1070">
        <f t="shared" si="4"/>
        <v>0</v>
      </c>
      <c r="X12" s="463">
        <f t="shared" si="5"/>
        <v>9.2428571428571438</v>
      </c>
      <c r="Y12" s="78">
        <f t="shared" si="7"/>
        <v>77</v>
      </c>
      <c r="Z12" s="78"/>
      <c r="AA12" s="78">
        <f t="shared" si="6"/>
        <v>711.7</v>
      </c>
    </row>
    <row r="13" spans="2:27" hidden="1">
      <c r="B13">
        <v>36</v>
      </c>
      <c r="C13" s="1459">
        <v>44561</v>
      </c>
      <c r="D13" s="1070"/>
      <c r="E13" s="1070"/>
      <c r="F13" s="1295"/>
      <c r="G13" s="1295">
        <v>7.18</v>
      </c>
      <c r="H13" s="1295"/>
      <c r="I13" s="1295"/>
      <c r="J13" s="1295"/>
      <c r="K13" s="1295"/>
      <c r="L13" s="463">
        <f t="shared" si="2"/>
        <v>7.18</v>
      </c>
      <c r="M13" s="480">
        <v>55</v>
      </c>
      <c r="N13" s="78"/>
      <c r="O13" s="78">
        <f t="shared" si="3"/>
        <v>394.9</v>
      </c>
      <c r="P13" s="1070">
        <f t="shared" si="4"/>
        <v>0</v>
      </c>
      <c r="Q13" s="1070">
        <f t="shared" si="4"/>
        <v>0</v>
      </c>
      <c r="R13" s="1070">
        <f t="shared" si="4"/>
        <v>0</v>
      </c>
      <c r="S13" s="1070">
        <f t="shared" si="4"/>
        <v>5.128571428571429</v>
      </c>
      <c r="T13" s="1070">
        <f t="shared" si="4"/>
        <v>0</v>
      </c>
      <c r="U13" s="1070">
        <f t="shared" si="4"/>
        <v>0</v>
      </c>
      <c r="V13" s="1070">
        <f t="shared" si="4"/>
        <v>0</v>
      </c>
      <c r="W13" s="1070">
        <f t="shared" si="4"/>
        <v>0</v>
      </c>
      <c r="X13" s="463">
        <f t="shared" si="5"/>
        <v>5.128571428571429</v>
      </c>
      <c r="Y13" s="78">
        <f t="shared" si="7"/>
        <v>77</v>
      </c>
      <c r="Z13" s="78"/>
      <c r="AA13" s="78">
        <f t="shared" si="6"/>
        <v>394.90000000000003</v>
      </c>
    </row>
    <row r="14" spans="2:27" hidden="1">
      <c r="B14">
        <v>39</v>
      </c>
      <c r="C14" s="1459">
        <v>44561</v>
      </c>
      <c r="D14" s="1070"/>
      <c r="E14" s="1070"/>
      <c r="F14" s="1295"/>
      <c r="G14" s="1295"/>
      <c r="H14" s="1295"/>
      <c r="I14" s="1295"/>
      <c r="J14" s="1295"/>
      <c r="K14" s="1295">
        <v>2.93</v>
      </c>
      <c r="L14" s="463">
        <f t="shared" si="2"/>
        <v>2.93</v>
      </c>
      <c r="M14" s="480">
        <v>55</v>
      </c>
      <c r="N14" s="78"/>
      <c r="O14" s="78">
        <f t="shared" si="3"/>
        <v>161.15</v>
      </c>
      <c r="P14" s="1070">
        <f t="shared" si="4"/>
        <v>0</v>
      </c>
      <c r="Q14" s="1070">
        <f t="shared" si="4"/>
        <v>0</v>
      </c>
      <c r="R14" s="1070">
        <f t="shared" si="4"/>
        <v>0</v>
      </c>
      <c r="S14" s="1070">
        <f t="shared" si="4"/>
        <v>0</v>
      </c>
      <c r="T14" s="1070">
        <f t="shared" si="4"/>
        <v>0</v>
      </c>
      <c r="U14" s="1070">
        <f t="shared" si="4"/>
        <v>0</v>
      </c>
      <c r="V14" s="1070">
        <f t="shared" si="4"/>
        <v>0</v>
      </c>
      <c r="W14" s="1070">
        <f t="shared" si="4"/>
        <v>2.092857142857143</v>
      </c>
      <c r="X14" s="463">
        <f t="shared" si="5"/>
        <v>2.092857142857143</v>
      </c>
      <c r="Y14" s="78">
        <f t="shared" si="7"/>
        <v>77</v>
      </c>
      <c r="Z14" s="78"/>
      <c r="AA14" s="78">
        <f t="shared" si="6"/>
        <v>161.15</v>
      </c>
    </row>
    <row r="15" spans="2:27">
      <c r="C15" s="1459">
        <v>44926</v>
      </c>
      <c r="D15" s="1070"/>
      <c r="E15" s="1070"/>
      <c r="F15" s="1295"/>
      <c r="G15" s="1295"/>
      <c r="H15" s="1295"/>
      <c r="I15" s="1295"/>
      <c r="J15" s="1295"/>
      <c r="K15" s="1295">
        <v>2.54</v>
      </c>
      <c r="L15" s="463">
        <f t="shared" ref="L15" si="8">SUM(D15:K15)</f>
        <v>2.54</v>
      </c>
      <c r="M15" s="480">
        <v>55</v>
      </c>
      <c r="N15" s="78"/>
      <c r="O15" s="78">
        <f t="shared" ref="O15" si="9">(L15*M15)</f>
        <v>139.69999999999999</v>
      </c>
      <c r="P15" s="1070">
        <f t="shared" ref="P15" si="10">(D15/$P$6)</f>
        <v>0</v>
      </c>
      <c r="Q15" s="1070">
        <f t="shared" ref="Q15" si="11">(E15/$P$6)</f>
        <v>0</v>
      </c>
      <c r="R15" s="1070">
        <f t="shared" ref="R15" si="12">(F15/$P$6)</f>
        <v>0</v>
      </c>
      <c r="S15" s="1070">
        <f t="shared" ref="S15" si="13">(G15/$P$6)</f>
        <v>0</v>
      </c>
      <c r="T15" s="1070">
        <f t="shared" ref="T15" si="14">(H15/$P$6)</f>
        <v>0</v>
      </c>
      <c r="U15" s="1070">
        <f t="shared" ref="U15" si="15">(I15/$P$6)</f>
        <v>0</v>
      </c>
      <c r="V15" s="1070">
        <f t="shared" ref="V15" si="16">(J15/$P$6)</f>
        <v>0</v>
      </c>
      <c r="W15" s="1070">
        <f t="shared" ref="W15" si="17">(K15/$P$6)</f>
        <v>1.8142857142857145</v>
      </c>
      <c r="X15" s="463">
        <f t="shared" ref="X15" si="18">SUM(P15:W15)</f>
        <v>1.8142857142857145</v>
      </c>
      <c r="Y15" s="78">
        <f t="shared" ref="Y15" si="19">(M15*$P$6)</f>
        <v>77</v>
      </c>
      <c r="Z15" s="78"/>
      <c r="AA15" s="78">
        <f t="shared" ref="AA15" si="20">(X15*Y15)</f>
        <v>139.70000000000002</v>
      </c>
    </row>
    <row r="16" spans="2:27">
      <c r="B16">
        <v>85</v>
      </c>
      <c r="C16" s="1459">
        <v>44926</v>
      </c>
      <c r="D16" s="1070"/>
      <c r="E16" s="1070"/>
      <c r="F16" s="1295"/>
      <c r="G16" s="1295"/>
      <c r="H16" s="1295"/>
      <c r="I16" s="1295"/>
      <c r="J16" s="1295">
        <v>1.58</v>
      </c>
      <c r="K16" s="1295"/>
      <c r="L16" s="463">
        <f t="shared" ref="L16:L66" si="21">SUM(D16:K16)</f>
        <v>1.58</v>
      </c>
      <c r="M16" s="480">
        <v>55</v>
      </c>
      <c r="N16" s="78"/>
      <c r="O16" s="78">
        <f t="shared" si="3"/>
        <v>86.9</v>
      </c>
      <c r="P16" s="1070">
        <f t="shared" si="4"/>
        <v>0</v>
      </c>
      <c r="Q16" s="1070">
        <f t="shared" si="4"/>
        <v>0</v>
      </c>
      <c r="R16" s="1070">
        <f t="shared" si="4"/>
        <v>0</v>
      </c>
      <c r="S16" s="1070">
        <f t="shared" si="4"/>
        <v>0</v>
      </c>
      <c r="T16" s="1070">
        <f t="shared" si="4"/>
        <v>0</v>
      </c>
      <c r="U16" s="1070">
        <f t="shared" si="4"/>
        <v>0</v>
      </c>
      <c r="V16" s="1070">
        <f t="shared" si="4"/>
        <v>1.1285714285714288</v>
      </c>
      <c r="W16" s="1070">
        <f t="shared" si="4"/>
        <v>0</v>
      </c>
      <c r="X16" s="463">
        <f t="shared" si="5"/>
        <v>1.1285714285714288</v>
      </c>
      <c r="Y16" s="78">
        <f t="shared" si="7"/>
        <v>77</v>
      </c>
      <c r="Z16" s="78"/>
      <c r="AA16" s="78">
        <f t="shared" si="6"/>
        <v>86.90000000000002</v>
      </c>
    </row>
    <row r="17" spans="2:27">
      <c r="B17">
        <v>86</v>
      </c>
      <c r="C17" s="1459">
        <v>44926</v>
      </c>
      <c r="D17" s="1070"/>
      <c r="E17" s="1070"/>
      <c r="F17" s="1295"/>
      <c r="G17" s="1295"/>
      <c r="H17" s="1295"/>
      <c r="I17" s="1295"/>
      <c r="J17" s="1295">
        <v>3.4</v>
      </c>
      <c r="K17" s="1295"/>
      <c r="L17" s="463">
        <f t="shared" si="21"/>
        <v>3.4</v>
      </c>
      <c r="M17" s="480">
        <v>55</v>
      </c>
      <c r="N17" s="78"/>
      <c r="O17" s="78">
        <f t="shared" si="3"/>
        <v>187</v>
      </c>
      <c r="P17" s="1070">
        <f t="shared" si="4"/>
        <v>0</v>
      </c>
      <c r="Q17" s="1070">
        <f t="shared" si="4"/>
        <v>0</v>
      </c>
      <c r="R17" s="1070">
        <f t="shared" si="4"/>
        <v>0</v>
      </c>
      <c r="S17" s="1070">
        <f t="shared" si="4"/>
        <v>0</v>
      </c>
      <c r="T17" s="1070">
        <f t="shared" si="4"/>
        <v>0</v>
      </c>
      <c r="U17" s="1070">
        <f t="shared" si="4"/>
        <v>0</v>
      </c>
      <c r="V17" s="1070">
        <f t="shared" si="4"/>
        <v>2.4285714285714288</v>
      </c>
      <c r="W17" s="1070">
        <f t="shared" si="4"/>
        <v>0</v>
      </c>
      <c r="X17" s="463">
        <f t="shared" si="5"/>
        <v>2.4285714285714288</v>
      </c>
      <c r="Y17" s="78">
        <f t="shared" si="7"/>
        <v>77</v>
      </c>
      <c r="Z17" s="78"/>
      <c r="AA17" s="78">
        <f t="shared" si="6"/>
        <v>187.00000000000003</v>
      </c>
    </row>
    <row r="18" spans="2:27">
      <c r="B18">
        <v>87</v>
      </c>
      <c r="C18" s="1459">
        <v>44926</v>
      </c>
      <c r="D18" s="1070"/>
      <c r="E18" s="1070"/>
      <c r="F18" s="1295"/>
      <c r="G18" s="1295"/>
      <c r="H18" s="1295"/>
      <c r="I18" s="1295"/>
      <c r="J18" s="1295">
        <v>5.65</v>
      </c>
      <c r="K18" s="1295"/>
      <c r="L18" s="463">
        <f t="shared" si="21"/>
        <v>5.65</v>
      </c>
      <c r="M18" s="480">
        <v>55</v>
      </c>
      <c r="N18" s="78"/>
      <c r="O18" s="78">
        <f t="shared" si="3"/>
        <v>310.75</v>
      </c>
      <c r="P18" s="1070">
        <f t="shared" si="4"/>
        <v>0</v>
      </c>
      <c r="Q18" s="1070">
        <f t="shared" si="4"/>
        <v>0</v>
      </c>
      <c r="R18" s="1070">
        <f t="shared" si="4"/>
        <v>0</v>
      </c>
      <c r="S18" s="1070">
        <f t="shared" si="4"/>
        <v>0</v>
      </c>
      <c r="T18" s="1070">
        <f t="shared" si="4"/>
        <v>0</v>
      </c>
      <c r="U18" s="1070">
        <f t="shared" si="4"/>
        <v>0</v>
      </c>
      <c r="V18" s="1070">
        <f t="shared" si="4"/>
        <v>4.0357142857142865</v>
      </c>
      <c r="W18" s="1070">
        <f t="shared" si="4"/>
        <v>0</v>
      </c>
      <c r="X18" s="463">
        <f t="shared" si="5"/>
        <v>4.0357142857142865</v>
      </c>
      <c r="Y18" s="78">
        <f t="shared" si="7"/>
        <v>77</v>
      </c>
      <c r="Z18" s="78"/>
      <c r="AA18" s="78">
        <f t="shared" si="6"/>
        <v>310.75000000000006</v>
      </c>
    </row>
    <row r="19" spans="2:27">
      <c r="B19">
        <v>92</v>
      </c>
      <c r="C19" s="1459">
        <v>44926</v>
      </c>
      <c r="D19" s="1070"/>
      <c r="E19" s="1070"/>
      <c r="F19" s="1295"/>
      <c r="G19" s="1295"/>
      <c r="H19" s="1295"/>
      <c r="I19" s="1295"/>
      <c r="J19" s="1522">
        <v>0.68</v>
      </c>
      <c r="K19" s="1295"/>
      <c r="L19" s="463">
        <f t="shared" si="21"/>
        <v>0.68</v>
      </c>
      <c r="M19" s="480">
        <v>55</v>
      </c>
      <c r="N19" s="78"/>
      <c r="O19" s="78">
        <f t="shared" si="3"/>
        <v>37.400000000000006</v>
      </c>
      <c r="P19" s="1070">
        <f t="shared" si="4"/>
        <v>0</v>
      </c>
      <c r="Q19" s="1070">
        <f t="shared" si="4"/>
        <v>0</v>
      </c>
      <c r="R19" s="1070">
        <f t="shared" si="4"/>
        <v>0</v>
      </c>
      <c r="S19" s="1070">
        <f t="shared" si="4"/>
        <v>0</v>
      </c>
      <c r="T19" s="1070">
        <f t="shared" si="4"/>
        <v>0</v>
      </c>
      <c r="U19" s="1070">
        <f t="shared" si="4"/>
        <v>0</v>
      </c>
      <c r="V19" s="1070">
        <f t="shared" si="4"/>
        <v>0.48571428571428577</v>
      </c>
      <c r="W19" s="1070">
        <f t="shared" si="4"/>
        <v>0</v>
      </c>
      <c r="X19" s="463">
        <f t="shared" si="5"/>
        <v>0.48571428571428577</v>
      </c>
      <c r="Y19" s="78">
        <f t="shared" si="7"/>
        <v>77</v>
      </c>
      <c r="Z19" s="78"/>
      <c r="AA19" s="78">
        <f t="shared" si="6"/>
        <v>37.400000000000006</v>
      </c>
    </row>
    <row r="20" spans="2:27">
      <c r="B20">
        <v>99</v>
      </c>
      <c r="C20" s="1459">
        <v>44926</v>
      </c>
      <c r="D20" s="1070"/>
      <c r="E20" s="1070"/>
      <c r="F20" s="1295"/>
      <c r="G20" s="1295"/>
      <c r="H20" s="1295"/>
      <c r="I20" s="1295"/>
      <c r="J20" s="1522">
        <v>0.24</v>
      </c>
      <c r="K20" s="1295"/>
      <c r="L20" s="463">
        <f t="shared" si="21"/>
        <v>0.24</v>
      </c>
      <c r="M20" s="480">
        <v>55</v>
      </c>
      <c r="N20" s="78"/>
      <c r="O20" s="78">
        <f t="shared" si="3"/>
        <v>13.2</v>
      </c>
      <c r="P20" s="1070">
        <f t="shared" si="4"/>
        <v>0</v>
      </c>
      <c r="Q20" s="1070">
        <f t="shared" si="4"/>
        <v>0</v>
      </c>
      <c r="R20" s="1070">
        <f t="shared" si="4"/>
        <v>0</v>
      </c>
      <c r="S20" s="1070">
        <f t="shared" si="4"/>
        <v>0</v>
      </c>
      <c r="T20" s="1070">
        <f t="shared" si="4"/>
        <v>0</v>
      </c>
      <c r="U20" s="1070">
        <f t="shared" si="4"/>
        <v>0</v>
      </c>
      <c r="V20" s="1070">
        <f t="shared" si="4"/>
        <v>0.17142857142857143</v>
      </c>
      <c r="W20" s="1070">
        <f t="shared" si="4"/>
        <v>0</v>
      </c>
      <c r="X20" s="463">
        <f t="shared" si="5"/>
        <v>0.17142857142857143</v>
      </c>
      <c r="Y20" s="78">
        <f t="shared" si="7"/>
        <v>77</v>
      </c>
      <c r="Z20" s="78"/>
      <c r="AA20" s="78">
        <f t="shared" si="6"/>
        <v>13.2</v>
      </c>
    </row>
    <row r="21" spans="2:27">
      <c r="B21">
        <v>102</v>
      </c>
      <c r="C21" s="1459">
        <v>44926</v>
      </c>
      <c r="D21" s="1070"/>
      <c r="E21" s="1070"/>
      <c r="F21" s="1295"/>
      <c r="G21" s="1295"/>
      <c r="H21" s="1295"/>
      <c r="I21" s="1295"/>
      <c r="J21" s="1522">
        <v>0.7</v>
      </c>
      <c r="K21" s="1295"/>
      <c r="L21" s="463">
        <f t="shared" si="21"/>
        <v>0.7</v>
      </c>
      <c r="M21" s="480">
        <v>55</v>
      </c>
      <c r="N21" s="78"/>
      <c r="O21" s="78">
        <f t="shared" si="3"/>
        <v>38.5</v>
      </c>
      <c r="P21" s="1070">
        <f t="shared" si="4"/>
        <v>0</v>
      </c>
      <c r="Q21" s="1070">
        <f t="shared" si="4"/>
        <v>0</v>
      </c>
      <c r="R21" s="1070">
        <f t="shared" si="4"/>
        <v>0</v>
      </c>
      <c r="S21" s="1070">
        <f t="shared" si="4"/>
        <v>0</v>
      </c>
      <c r="T21" s="1070">
        <f t="shared" si="4"/>
        <v>0</v>
      </c>
      <c r="U21" s="1070">
        <f t="shared" si="4"/>
        <v>0</v>
      </c>
      <c r="V21" s="1070">
        <f t="shared" si="4"/>
        <v>0.5</v>
      </c>
      <c r="W21" s="1070">
        <f t="shared" si="4"/>
        <v>0</v>
      </c>
      <c r="X21" s="463">
        <f t="shared" si="5"/>
        <v>0.5</v>
      </c>
      <c r="Y21" s="78">
        <f t="shared" si="7"/>
        <v>77</v>
      </c>
      <c r="Z21" s="78"/>
      <c r="AA21" s="78">
        <f t="shared" si="6"/>
        <v>38.5</v>
      </c>
    </row>
    <row r="22" spans="2:27" hidden="1">
      <c r="B22">
        <v>147</v>
      </c>
      <c r="C22" s="1459">
        <v>45291</v>
      </c>
      <c r="D22" s="1070"/>
      <c r="E22" s="1070"/>
      <c r="F22" s="1295"/>
      <c r="G22" s="1295"/>
      <c r="H22" s="1295">
        <v>0.92</v>
      </c>
      <c r="I22" s="1295"/>
      <c r="J22" s="1295"/>
      <c r="K22" s="1295"/>
      <c r="L22" s="463">
        <f t="shared" si="21"/>
        <v>0.92</v>
      </c>
      <c r="M22" s="480">
        <v>58</v>
      </c>
      <c r="N22" s="78"/>
      <c r="O22" s="78">
        <f t="shared" si="3"/>
        <v>53.36</v>
      </c>
      <c r="P22" s="1070">
        <f t="shared" si="4"/>
        <v>0</v>
      </c>
      <c r="Q22" s="1070">
        <f t="shared" si="4"/>
        <v>0</v>
      </c>
      <c r="R22" s="1070">
        <f t="shared" si="4"/>
        <v>0</v>
      </c>
      <c r="S22" s="1070">
        <f t="shared" si="4"/>
        <v>0</v>
      </c>
      <c r="T22" s="1070">
        <f t="shared" si="4"/>
        <v>0.65714285714285725</v>
      </c>
      <c r="U22" s="1070">
        <f t="shared" si="4"/>
        <v>0</v>
      </c>
      <c r="V22" s="1070">
        <f t="shared" si="4"/>
        <v>0</v>
      </c>
      <c r="W22" s="1070">
        <f t="shared" si="4"/>
        <v>0</v>
      </c>
      <c r="X22" s="463">
        <f t="shared" si="5"/>
        <v>0.65714285714285725</v>
      </c>
      <c r="Y22" s="78">
        <f t="shared" si="7"/>
        <v>81.199999999999989</v>
      </c>
      <c r="Z22" s="78"/>
      <c r="AA22" s="78">
        <f t="shared" si="6"/>
        <v>53.36</v>
      </c>
    </row>
    <row r="23" spans="2:27" hidden="1">
      <c r="B23">
        <v>148</v>
      </c>
      <c r="C23" s="1459">
        <v>45291</v>
      </c>
      <c r="D23" s="1070"/>
      <c r="E23" s="1070"/>
      <c r="F23" s="1295"/>
      <c r="G23" s="1295"/>
      <c r="H23" s="1522">
        <v>27.18</v>
      </c>
      <c r="I23" s="1295"/>
      <c r="J23" s="1295"/>
      <c r="K23" s="1295"/>
      <c r="L23" s="463">
        <f t="shared" si="21"/>
        <v>27.18</v>
      </c>
      <c r="M23" s="480">
        <v>58</v>
      </c>
      <c r="N23" s="78"/>
      <c r="O23" s="78">
        <f t="shared" si="3"/>
        <v>1576.44</v>
      </c>
      <c r="P23" s="1070">
        <f t="shared" si="4"/>
        <v>0</v>
      </c>
      <c r="Q23" s="1070">
        <f t="shared" si="4"/>
        <v>0</v>
      </c>
      <c r="R23" s="1070">
        <f t="shared" si="4"/>
        <v>0</v>
      </c>
      <c r="S23" s="1070">
        <f t="shared" si="4"/>
        <v>0</v>
      </c>
      <c r="T23" s="1070">
        <f t="shared" si="4"/>
        <v>19.414285714285715</v>
      </c>
      <c r="U23" s="1070">
        <f t="shared" si="4"/>
        <v>0</v>
      </c>
      <c r="V23" s="1070">
        <f t="shared" si="4"/>
        <v>0</v>
      </c>
      <c r="W23" s="1070">
        <f t="shared" si="4"/>
        <v>0</v>
      </c>
      <c r="X23" s="463">
        <f t="shared" si="5"/>
        <v>19.414285714285715</v>
      </c>
      <c r="Y23" s="78">
        <f t="shared" si="7"/>
        <v>81.199999999999989</v>
      </c>
      <c r="Z23" s="78"/>
      <c r="AA23" s="78">
        <f t="shared" si="6"/>
        <v>1576.4399999999998</v>
      </c>
    </row>
    <row r="24" spans="2:27" hidden="1">
      <c r="B24">
        <v>149</v>
      </c>
      <c r="C24" s="1459">
        <v>45291</v>
      </c>
      <c r="D24" s="1070"/>
      <c r="E24" s="1070"/>
      <c r="F24" s="1295"/>
      <c r="G24" s="1295"/>
      <c r="H24" s="1295">
        <v>0.54</v>
      </c>
      <c r="I24" s="1295"/>
      <c r="J24" s="1295"/>
      <c r="K24" s="1295"/>
      <c r="L24" s="463">
        <f t="shared" si="21"/>
        <v>0.54</v>
      </c>
      <c r="M24" s="480">
        <v>58</v>
      </c>
      <c r="N24" s="78"/>
      <c r="O24" s="78">
        <f t="shared" si="3"/>
        <v>31.32</v>
      </c>
      <c r="P24" s="1070">
        <f t="shared" si="4"/>
        <v>0</v>
      </c>
      <c r="Q24" s="1070">
        <f t="shared" si="4"/>
        <v>0</v>
      </c>
      <c r="R24" s="1070">
        <f t="shared" si="4"/>
        <v>0</v>
      </c>
      <c r="S24" s="1070">
        <f t="shared" si="4"/>
        <v>0</v>
      </c>
      <c r="T24" s="1070">
        <f t="shared" si="4"/>
        <v>0.38571428571428579</v>
      </c>
      <c r="U24" s="1070">
        <f t="shared" si="4"/>
        <v>0</v>
      </c>
      <c r="V24" s="1070">
        <f t="shared" si="4"/>
        <v>0</v>
      </c>
      <c r="W24" s="1070">
        <f t="shared" si="4"/>
        <v>0</v>
      </c>
      <c r="X24" s="463">
        <f t="shared" si="5"/>
        <v>0.38571428571428579</v>
      </c>
      <c r="Y24" s="78">
        <f t="shared" si="7"/>
        <v>81.199999999999989</v>
      </c>
      <c r="Z24" s="78"/>
      <c r="AA24" s="78">
        <f t="shared" si="6"/>
        <v>31.32</v>
      </c>
    </row>
    <row r="25" spans="2:27" hidden="1">
      <c r="B25">
        <v>150</v>
      </c>
      <c r="C25" s="1459">
        <v>45291</v>
      </c>
      <c r="D25" s="1070"/>
      <c r="E25" s="1070"/>
      <c r="F25" s="1295"/>
      <c r="G25" s="1295"/>
      <c r="H25" s="1295">
        <v>0.76</v>
      </c>
      <c r="I25" s="1295"/>
      <c r="J25" s="1295"/>
      <c r="K25" s="1295"/>
      <c r="L25" s="463">
        <f t="shared" si="21"/>
        <v>0.76</v>
      </c>
      <c r="M25" s="480">
        <v>58</v>
      </c>
      <c r="N25" s="78"/>
      <c r="O25" s="78">
        <f t="shared" si="3"/>
        <v>44.08</v>
      </c>
      <c r="P25" s="1070">
        <f t="shared" si="4"/>
        <v>0</v>
      </c>
      <c r="Q25" s="1070">
        <f t="shared" si="4"/>
        <v>0</v>
      </c>
      <c r="R25" s="1070">
        <f t="shared" si="4"/>
        <v>0</v>
      </c>
      <c r="S25" s="1070">
        <f t="shared" si="4"/>
        <v>0</v>
      </c>
      <c r="T25" s="1070">
        <f t="shared" si="4"/>
        <v>0.54285714285714293</v>
      </c>
      <c r="U25" s="1070">
        <f t="shared" si="4"/>
        <v>0</v>
      </c>
      <c r="V25" s="1070">
        <f t="shared" si="4"/>
        <v>0</v>
      </c>
      <c r="W25" s="1070">
        <f t="shared" si="4"/>
        <v>0</v>
      </c>
      <c r="X25" s="463">
        <f t="shared" si="5"/>
        <v>0.54285714285714293</v>
      </c>
      <c r="Y25" s="78">
        <f t="shared" si="7"/>
        <v>81.199999999999989</v>
      </c>
      <c r="Z25" s="78"/>
      <c r="AA25" s="78">
        <f t="shared" si="6"/>
        <v>44.08</v>
      </c>
    </row>
    <row r="26" spans="2:27" hidden="1">
      <c r="B26">
        <v>151</v>
      </c>
      <c r="C26" s="1459">
        <v>45291</v>
      </c>
      <c r="D26" s="1070"/>
      <c r="E26" s="1070"/>
      <c r="F26" s="1295"/>
      <c r="G26" s="1295"/>
      <c r="H26" s="1295">
        <v>0.56000000000000005</v>
      </c>
      <c r="I26" s="1295"/>
      <c r="J26" s="1295"/>
      <c r="K26" s="1295"/>
      <c r="L26" s="463">
        <f t="shared" si="21"/>
        <v>0.56000000000000005</v>
      </c>
      <c r="M26" s="480">
        <v>58</v>
      </c>
      <c r="N26" s="78"/>
      <c r="O26" s="78">
        <f t="shared" si="3"/>
        <v>32.480000000000004</v>
      </c>
      <c r="P26" s="1070">
        <f t="shared" ref="P26:W47" si="22">(D26/$P$6)</f>
        <v>0</v>
      </c>
      <c r="Q26" s="1070">
        <f t="shared" si="22"/>
        <v>0</v>
      </c>
      <c r="R26" s="1070">
        <f t="shared" si="22"/>
        <v>0</v>
      </c>
      <c r="S26" s="1070">
        <f t="shared" si="22"/>
        <v>0</v>
      </c>
      <c r="T26" s="1070">
        <f t="shared" si="22"/>
        <v>0.40000000000000008</v>
      </c>
      <c r="U26" s="1070">
        <f t="shared" si="22"/>
        <v>0</v>
      </c>
      <c r="V26" s="1070">
        <f t="shared" si="22"/>
        <v>0</v>
      </c>
      <c r="W26" s="1070">
        <f t="shared" si="22"/>
        <v>0</v>
      </c>
      <c r="X26" s="463">
        <f t="shared" si="5"/>
        <v>0.40000000000000008</v>
      </c>
      <c r="Y26" s="78">
        <f t="shared" si="7"/>
        <v>81.199999999999989</v>
      </c>
      <c r="Z26" s="78"/>
      <c r="AA26" s="78">
        <f t="shared" si="6"/>
        <v>32.480000000000004</v>
      </c>
    </row>
    <row r="27" spans="2:27" hidden="1">
      <c r="B27">
        <v>152</v>
      </c>
      <c r="C27" s="1459">
        <v>45291</v>
      </c>
      <c r="D27" s="1070"/>
      <c r="E27" s="1070"/>
      <c r="F27" s="1295"/>
      <c r="G27" s="1295"/>
      <c r="H27" s="1295">
        <v>0.57999999999999996</v>
      </c>
      <c r="I27" s="1295"/>
      <c r="J27" s="1295"/>
      <c r="K27" s="1295"/>
      <c r="L27" s="463">
        <f t="shared" si="21"/>
        <v>0.57999999999999996</v>
      </c>
      <c r="M27" s="480">
        <v>58</v>
      </c>
      <c r="N27" s="78"/>
      <c r="O27" s="78">
        <f t="shared" si="3"/>
        <v>33.64</v>
      </c>
      <c r="P27" s="1070">
        <f t="shared" si="22"/>
        <v>0</v>
      </c>
      <c r="Q27" s="1070">
        <f t="shared" si="22"/>
        <v>0</v>
      </c>
      <c r="R27" s="1070">
        <f t="shared" si="22"/>
        <v>0</v>
      </c>
      <c r="S27" s="1070">
        <f t="shared" si="22"/>
        <v>0</v>
      </c>
      <c r="T27" s="1070">
        <f t="shared" si="22"/>
        <v>0.41428571428571426</v>
      </c>
      <c r="U27" s="1070">
        <f t="shared" si="22"/>
        <v>0</v>
      </c>
      <c r="V27" s="1070">
        <f t="shared" si="22"/>
        <v>0</v>
      </c>
      <c r="W27" s="1070">
        <f t="shared" si="22"/>
        <v>0</v>
      </c>
      <c r="X27" s="463">
        <f t="shared" si="5"/>
        <v>0.41428571428571426</v>
      </c>
      <c r="Y27" s="78">
        <f t="shared" si="7"/>
        <v>81.199999999999989</v>
      </c>
      <c r="Z27" s="78"/>
      <c r="AA27" s="78">
        <f t="shared" si="6"/>
        <v>33.639999999999993</v>
      </c>
    </row>
    <row r="28" spans="2:27" hidden="1">
      <c r="B28">
        <v>153</v>
      </c>
      <c r="C28" s="1459">
        <v>45291</v>
      </c>
      <c r="D28" s="1070"/>
      <c r="E28" s="1070"/>
      <c r="F28" s="1295"/>
      <c r="G28" s="1295"/>
      <c r="H28" s="1295">
        <v>0.82</v>
      </c>
      <c r="I28" s="1295"/>
      <c r="J28" s="1295"/>
      <c r="K28" s="1295"/>
      <c r="L28" s="463">
        <f t="shared" si="21"/>
        <v>0.82</v>
      </c>
      <c r="M28" s="480">
        <v>58</v>
      </c>
      <c r="N28" s="78"/>
      <c r="O28" s="78">
        <f t="shared" si="3"/>
        <v>47.559999999999995</v>
      </c>
      <c r="P28" s="1070">
        <f t="shared" si="22"/>
        <v>0</v>
      </c>
      <c r="Q28" s="1070">
        <f t="shared" si="22"/>
        <v>0</v>
      </c>
      <c r="R28" s="1070">
        <f t="shared" si="22"/>
        <v>0</v>
      </c>
      <c r="S28" s="1070">
        <f t="shared" si="22"/>
        <v>0</v>
      </c>
      <c r="T28" s="1070">
        <f t="shared" si="22"/>
        <v>0.58571428571428574</v>
      </c>
      <c r="U28" s="1070">
        <f t="shared" si="22"/>
        <v>0</v>
      </c>
      <c r="V28" s="1070">
        <f t="shared" si="22"/>
        <v>0</v>
      </c>
      <c r="W28" s="1070">
        <f t="shared" si="22"/>
        <v>0</v>
      </c>
      <c r="X28" s="463">
        <f t="shared" si="5"/>
        <v>0.58571428571428574</v>
      </c>
      <c r="Y28" s="78">
        <f t="shared" si="7"/>
        <v>81.199999999999989</v>
      </c>
      <c r="Z28" s="78"/>
      <c r="AA28" s="78">
        <f t="shared" si="6"/>
        <v>47.559999999999995</v>
      </c>
    </row>
    <row r="29" spans="2:27" hidden="1">
      <c r="B29">
        <v>154</v>
      </c>
      <c r="C29" s="1459">
        <v>45291</v>
      </c>
      <c r="D29" s="1070"/>
      <c r="E29" s="1070"/>
      <c r="F29" s="1295"/>
      <c r="G29" s="1295"/>
      <c r="H29" s="1295">
        <v>0.96</v>
      </c>
      <c r="I29" s="1295"/>
      <c r="J29" s="1295"/>
      <c r="K29" s="1295"/>
      <c r="L29" s="463">
        <f t="shared" si="21"/>
        <v>0.96</v>
      </c>
      <c r="M29" s="480">
        <v>58</v>
      </c>
      <c r="N29" s="78"/>
      <c r="O29" s="78">
        <f t="shared" si="3"/>
        <v>55.68</v>
      </c>
      <c r="P29" s="1070">
        <f t="shared" si="22"/>
        <v>0</v>
      </c>
      <c r="Q29" s="1070">
        <f t="shared" si="22"/>
        <v>0</v>
      </c>
      <c r="R29" s="1070">
        <f t="shared" si="22"/>
        <v>0</v>
      </c>
      <c r="S29" s="1070">
        <f t="shared" si="22"/>
        <v>0</v>
      </c>
      <c r="T29" s="1070">
        <f t="shared" si="22"/>
        <v>0.68571428571428572</v>
      </c>
      <c r="U29" s="1070">
        <f t="shared" si="22"/>
        <v>0</v>
      </c>
      <c r="V29" s="1070">
        <f t="shared" si="22"/>
        <v>0</v>
      </c>
      <c r="W29" s="1070">
        <f t="shared" si="22"/>
        <v>0</v>
      </c>
      <c r="X29" s="463">
        <f t="shared" si="5"/>
        <v>0.68571428571428572</v>
      </c>
      <c r="Y29" s="78">
        <f t="shared" si="7"/>
        <v>81.199999999999989</v>
      </c>
      <c r="Z29" s="78"/>
      <c r="AA29" s="78">
        <f t="shared" si="6"/>
        <v>55.679999999999993</v>
      </c>
    </row>
    <row r="30" spans="2:27" hidden="1">
      <c r="B30">
        <v>155</v>
      </c>
      <c r="C30" s="1459">
        <v>45291</v>
      </c>
      <c r="D30" s="1070"/>
      <c r="E30" s="1070"/>
      <c r="F30" s="1295"/>
      <c r="G30" s="1295"/>
      <c r="H30" s="1295">
        <v>0.82</v>
      </c>
      <c r="I30" s="1295"/>
      <c r="J30" s="1295"/>
      <c r="K30" s="1295"/>
      <c r="L30" s="463">
        <f t="shared" si="21"/>
        <v>0.82</v>
      </c>
      <c r="M30" s="480">
        <v>58</v>
      </c>
      <c r="N30" s="78"/>
      <c r="O30" s="78">
        <f t="shared" si="3"/>
        <v>47.559999999999995</v>
      </c>
      <c r="P30" s="1070">
        <f t="shared" si="22"/>
        <v>0</v>
      </c>
      <c r="Q30" s="1070">
        <f t="shared" si="22"/>
        <v>0</v>
      </c>
      <c r="R30" s="1070">
        <f t="shared" si="22"/>
        <v>0</v>
      </c>
      <c r="S30" s="1070">
        <f t="shared" si="22"/>
        <v>0</v>
      </c>
      <c r="T30" s="1070">
        <f t="shared" si="22"/>
        <v>0.58571428571428574</v>
      </c>
      <c r="U30" s="1070">
        <f t="shared" si="22"/>
        <v>0</v>
      </c>
      <c r="V30" s="1070">
        <f t="shared" si="22"/>
        <v>0</v>
      </c>
      <c r="W30" s="1070">
        <f t="shared" si="22"/>
        <v>0</v>
      </c>
      <c r="X30" s="463">
        <f t="shared" si="5"/>
        <v>0.58571428571428574</v>
      </c>
      <c r="Y30" s="78">
        <f t="shared" si="7"/>
        <v>81.199999999999989</v>
      </c>
      <c r="Z30" s="78"/>
      <c r="AA30" s="78">
        <f t="shared" si="6"/>
        <v>47.559999999999995</v>
      </c>
    </row>
    <row r="31" spans="2:27" hidden="1">
      <c r="B31">
        <v>156</v>
      </c>
      <c r="C31" s="1459">
        <v>45291</v>
      </c>
      <c r="D31" s="1070"/>
      <c r="E31" s="1070"/>
      <c r="F31" s="1295"/>
      <c r="G31" s="1295"/>
      <c r="H31" s="1295">
        <v>0.72</v>
      </c>
      <c r="I31" s="1295"/>
      <c r="J31" s="1295"/>
      <c r="K31" s="1295"/>
      <c r="L31" s="463">
        <f t="shared" si="21"/>
        <v>0.72</v>
      </c>
      <c r="M31" s="480">
        <v>58</v>
      </c>
      <c r="N31" s="78"/>
      <c r="O31" s="78">
        <f t="shared" si="3"/>
        <v>41.76</v>
      </c>
      <c r="P31" s="1070">
        <f t="shared" si="22"/>
        <v>0</v>
      </c>
      <c r="Q31" s="1070">
        <f t="shared" si="22"/>
        <v>0</v>
      </c>
      <c r="R31" s="1070">
        <f t="shared" si="22"/>
        <v>0</v>
      </c>
      <c r="S31" s="1070">
        <f t="shared" si="22"/>
        <v>0</v>
      </c>
      <c r="T31" s="1070">
        <f t="shared" si="22"/>
        <v>0.51428571428571435</v>
      </c>
      <c r="U31" s="1070">
        <f t="shared" si="22"/>
        <v>0</v>
      </c>
      <c r="V31" s="1070">
        <f t="shared" si="22"/>
        <v>0</v>
      </c>
      <c r="W31" s="1070">
        <f t="shared" si="22"/>
        <v>0</v>
      </c>
      <c r="X31" s="463">
        <f t="shared" si="5"/>
        <v>0.51428571428571435</v>
      </c>
      <c r="Y31" s="78">
        <f t="shared" si="7"/>
        <v>81.199999999999989</v>
      </c>
      <c r="Z31" s="78"/>
      <c r="AA31" s="78">
        <f t="shared" si="6"/>
        <v>41.76</v>
      </c>
    </row>
    <row r="32" spans="2:27" hidden="1">
      <c r="B32">
        <v>157</v>
      </c>
      <c r="C32" s="1459">
        <v>45291</v>
      </c>
      <c r="D32" s="1070"/>
      <c r="E32" s="1070"/>
      <c r="F32" s="1295"/>
      <c r="G32" s="1295"/>
      <c r="H32" s="1295">
        <v>0.76</v>
      </c>
      <c r="I32" s="1295"/>
      <c r="J32" s="1295"/>
      <c r="K32" s="1295"/>
      <c r="L32" s="463">
        <f t="shared" si="21"/>
        <v>0.76</v>
      </c>
      <c r="M32" s="480">
        <v>58</v>
      </c>
      <c r="N32" s="78"/>
      <c r="O32" s="78">
        <f t="shared" si="3"/>
        <v>44.08</v>
      </c>
      <c r="P32" s="1070">
        <f t="shared" si="22"/>
        <v>0</v>
      </c>
      <c r="Q32" s="1070">
        <f t="shared" si="22"/>
        <v>0</v>
      </c>
      <c r="R32" s="1070">
        <f t="shared" si="22"/>
        <v>0</v>
      </c>
      <c r="S32" s="1070">
        <f t="shared" si="22"/>
        <v>0</v>
      </c>
      <c r="T32" s="1070">
        <f t="shared" si="22"/>
        <v>0.54285714285714293</v>
      </c>
      <c r="U32" s="1070">
        <f t="shared" si="22"/>
        <v>0</v>
      </c>
      <c r="V32" s="1070">
        <f t="shared" si="22"/>
        <v>0</v>
      </c>
      <c r="W32" s="1070">
        <f t="shared" si="22"/>
        <v>0</v>
      </c>
      <c r="X32" s="463">
        <f t="shared" si="5"/>
        <v>0.54285714285714293</v>
      </c>
      <c r="Y32" s="78">
        <f t="shared" si="7"/>
        <v>81.199999999999989</v>
      </c>
      <c r="Z32" s="78"/>
      <c r="AA32" s="78">
        <f t="shared" si="6"/>
        <v>44.08</v>
      </c>
    </row>
    <row r="33" spans="2:27" hidden="1">
      <c r="B33">
        <v>158</v>
      </c>
      <c r="C33" s="1459">
        <v>45291</v>
      </c>
      <c r="D33" s="1070"/>
      <c r="E33" s="1070"/>
      <c r="F33" s="1295"/>
      <c r="G33" s="1295"/>
      <c r="H33" s="1295">
        <v>0.92</v>
      </c>
      <c r="I33" s="1295"/>
      <c r="J33" s="1295"/>
      <c r="K33" s="1295"/>
      <c r="L33" s="463">
        <f t="shared" si="21"/>
        <v>0.92</v>
      </c>
      <c r="M33" s="480">
        <v>58</v>
      </c>
      <c r="N33" s="78"/>
      <c r="O33" s="78">
        <f t="shared" si="3"/>
        <v>53.36</v>
      </c>
      <c r="P33" s="1070">
        <f t="shared" si="22"/>
        <v>0</v>
      </c>
      <c r="Q33" s="1070">
        <f t="shared" si="22"/>
        <v>0</v>
      </c>
      <c r="R33" s="1070">
        <f t="shared" si="22"/>
        <v>0</v>
      </c>
      <c r="S33" s="1070">
        <f t="shared" si="22"/>
        <v>0</v>
      </c>
      <c r="T33" s="1070">
        <f>(H33/$P$6)</f>
        <v>0.65714285714285725</v>
      </c>
      <c r="U33" s="1070">
        <f t="shared" si="22"/>
        <v>0</v>
      </c>
      <c r="V33" s="1070">
        <f t="shared" si="22"/>
        <v>0</v>
      </c>
      <c r="W33" s="1070">
        <f t="shared" si="22"/>
        <v>0</v>
      </c>
      <c r="X33" s="463">
        <f t="shared" si="5"/>
        <v>0.65714285714285725</v>
      </c>
      <c r="Y33" s="78">
        <f t="shared" si="7"/>
        <v>81.199999999999989</v>
      </c>
      <c r="Z33" s="78"/>
      <c r="AA33" s="78">
        <f t="shared" si="6"/>
        <v>53.36</v>
      </c>
    </row>
    <row r="34" spans="2:27" hidden="1">
      <c r="B34">
        <v>161</v>
      </c>
      <c r="C34" s="1459">
        <v>45291</v>
      </c>
      <c r="D34" s="1070"/>
      <c r="E34" s="1070"/>
      <c r="F34" s="1295"/>
      <c r="G34" s="1295"/>
      <c r="H34" s="1295"/>
      <c r="I34" s="1295"/>
      <c r="J34" s="79">
        <v>1.5</v>
      </c>
      <c r="K34" s="1295"/>
      <c r="L34" s="463">
        <f t="shared" si="21"/>
        <v>1.5</v>
      </c>
      <c r="M34" s="480">
        <v>58</v>
      </c>
      <c r="N34" s="78"/>
      <c r="O34" s="78">
        <f t="shared" si="3"/>
        <v>87</v>
      </c>
      <c r="P34" s="1070">
        <f t="shared" si="22"/>
        <v>0</v>
      </c>
      <c r="Q34" s="1070">
        <f t="shared" si="22"/>
        <v>0</v>
      </c>
      <c r="R34" s="1070">
        <f t="shared" si="22"/>
        <v>0</v>
      </c>
      <c r="S34" s="1070">
        <f t="shared" si="22"/>
        <v>0</v>
      </c>
      <c r="T34" s="1070">
        <f t="shared" si="22"/>
        <v>0</v>
      </c>
      <c r="U34" s="1070">
        <f t="shared" si="22"/>
        <v>0</v>
      </c>
      <c r="V34" s="1070">
        <f t="shared" si="22"/>
        <v>1.0714285714285714</v>
      </c>
      <c r="W34" s="1070">
        <f t="shared" si="22"/>
        <v>0</v>
      </c>
      <c r="X34" s="463">
        <f t="shared" si="5"/>
        <v>1.0714285714285714</v>
      </c>
      <c r="Y34" s="78">
        <f t="shared" si="7"/>
        <v>81.199999999999989</v>
      </c>
      <c r="Z34" s="78"/>
      <c r="AA34" s="78">
        <f t="shared" si="6"/>
        <v>86.999999999999986</v>
      </c>
    </row>
    <row r="35" spans="2:27" hidden="1">
      <c r="B35">
        <v>162</v>
      </c>
      <c r="C35" s="1459">
        <v>45291</v>
      </c>
      <c r="D35" s="1070"/>
      <c r="E35" s="1070"/>
      <c r="F35" s="1295"/>
      <c r="G35" s="1295"/>
      <c r="H35" s="1295"/>
      <c r="I35" s="1295"/>
      <c r="J35" s="77">
        <v>1.32</v>
      </c>
      <c r="K35" s="1295"/>
      <c r="L35" s="463">
        <f t="shared" si="21"/>
        <v>1.32</v>
      </c>
      <c r="M35" s="480">
        <v>58</v>
      </c>
      <c r="N35" s="78"/>
      <c r="O35" s="78">
        <f t="shared" si="3"/>
        <v>76.56</v>
      </c>
      <c r="P35" s="1070">
        <f t="shared" si="22"/>
        <v>0</v>
      </c>
      <c r="Q35" s="1070">
        <f t="shared" si="22"/>
        <v>0</v>
      </c>
      <c r="R35" s="1070">
        <f t="shared" si="22"/>
        <v>0</v>
      </c>
      <c r="S35" s="1070">
        <f t="shared" si="22"/>
        <v>0</v>
      </c>
      <c r="T35" s="1070">
        <f t="shared" si="22"/>
        <v>0</v>
      </c>
      <c r="U35" s="1070">
        <f t="shared" si="22"/>
        <v>0</v>
      </c>
      <c r="V35" s="1070">
        <f t="shared" si="22"/>
        <v>0.94285714285714295</v>
      </c>
      <c r="W35" s="1070">
        <f t="shared" si="22"/>
        <v>0</v>
      </c>
      <c r="X35" s="463">
        <f t="shared" si="5"/>
        <v>0.94285714285714295</v>
      </c>
      <c r="Y35" s="78">
        <f t="shared" si="7"/>
        <v>81.199999999999989</v>
      </c>
      <c r="Z35" s="78"/>
      <c r="AA35" s="78">
        <f t="shared" si="6"/>
        <v>76.56</v>
      </c>
    </row>
    <row r="36" spans="2:27" hidden="1">
      <c r="B36">
        <v>163</v>
      </c>
      <c r="C36" s="1459">
        <v>45291</v>
      </c>
      <c r="D36" s="1070"/>
      <c r="E36" s="1070"/>
      <c r="F36" s="1295"/>
      <c r="G36" s="1295"/>
      <c r="H36" s="1295"/>
      <c r="I36" s="1295"/>
      <c r="J36" s="77">
        <v>1.06</v>
      </c>
      <c r="K36" s="1295"/>
      <c r="L36" s="463">
        <f t="shared" si="21"/>
        <v>1.06</v>
      </c>
      <c r="M36" s="480">
        <v>58</v>
      </c>
      <c r="N36" s="78"/>
      <c r="O36" s="78">
        <f t="shared" si="3"/>
        <v>61.480000000000004</v>
      </c>
      <c r="P36" s="1070">
        <f t="shared" si="22"/>
        <v>0</v>
      </c>
      <c r="Q36" s="1070">
        <f t="shared" si="22"/>
        <v>0</v>
      </c>
      <c r="R36" s="1070">
        <f t="shared" si="22"/>
        <v>0</v>
      </c>
      <c r="S36" s="1070">
        <f t="shared" si="22"/>
        <v>0</v>
      </c>
      <c r="T36" s="1070">
        <f t="shared" si="22"/>
        <v>0</v>
      </c>
      <c r="U36" s="1070">
        <f t="shared" si="22"/>
        <v>0</v>
      </c>
      <c r="V36" s="1070">
        <f t="shared" si="22"/>
        <v>0.75714285714285723</v>
      </c>
      <c r="W36" s="1070">
        <f t="shared" si="22"/>
        <v>0</v>
      </c>
      <c r="X36" s="463">
        <f t="shared" si="5"/>
        <v>0.75714285714285723</v>
      </c>
      <c r="Y36" s="78">
        <f t="shared" si="7"/>
        <v>81.199999999999989</v>
      </c>
      <c r="Z36" s="78"/>
      <c r="AA36" s="78">
        <f t="shared" si="6"/>
        <v>61.48</v>
      </c>
    </row>
    <row r="37" spans="2:27" hidden="1">
      <c r="B37">
        <v>164</v>
      </c>
      <c r="C37" s="1459">
        <v>45291</v>
      </c>
      <c r="D37" s="1070"/>
      <c r="E37" s="1070"/>
      <c r="F37" s="1295"/>
      <c r="G37" s="1295"/>
      <c r="H37" s="1295"/>
      <c r="I37" s="1295"/>
      <c r="J37" s="77">
        <v>1.72</v>
      </c>
      <c r="K37" s="1295"/>
      <c r="L37" s="463">
        <f t="shared" si="21"/>
        <v>1.72</v>
      </c>
      <c r="M37" s="480">
        <v>58</v>
      </c>
      <c r="N37" s="78"/>
      <c r="O37" s="78">
        <f t="shared" si="3"/>
        <v>99.76</v>
      </c>
      <c r="P37" s="1070">
        <f t="shared" si="22"/>
        <v>0</v>
      </c>
      <c r="Q37" s="1070">
        <f t="shared" si="22"/>
        <v>0</v>
      </c>
      <c r="R37" s="1070">
        <f t="shared" si="22"/>
        <v>0</v>
      </c>
      <c r="S37" s="1070">
        <f t="shared" si="22"/>
        <v>0</v>
      </c>
      <c r="T37" s="1070">
        <f t="shared" si="22"/>
        <v>0</v>
      </c>
      <c r="U37" s="1070">
        <f t="shared" si="22"/>
        <v>0</v>
      </c>
      <c r="V37" s="1070">
        <f t="shared" si="22"/>
        <v>1.2285714285714286</v>
      </c>
      <c r="W37" s="1070">
        <f t="shared" si="22"/>
        <v>0</v>
      </c>
      <c r="X37" s="463">
        <f t="shared" si="5"/>
        <v>1.2285714285714286</v>
      </c>
      <c r="Y37" s="78">
        <f t="shared" si="7"/>
        <v>81.199999999999989</v>
      </c>
      <c r="Z37" s="78"/>
      <c r="AA37" s="78">
        <f t="shared" si="6"/>
        <v>99.759999999999991</v>
      </c>
    </row>
    <row r="38" spans="2:27" hidden="1">
      <c r="B38">
        <v>165</v>
      </c>
      <c r="C38" s="1459">
        <v>45291</v>
      </c>
      <c r="D38" s="1070"/>
      <c r="E38" s="1070"/>
      <c r="F38" s="1295"/>
      <c r="G38" s="1295"/>
      <c r="H38" s="1295"/>
      <c r="I38" s="1295"/>
      <c r="J38" s="77">
        <v>3.16</v>
      </c>
      <c r="K38" s="1295"/>
      <c r="L38" s="463">
        <f t="shared" si="21"/>
        <v>3.16</v>
      </c>
      <c r="M38" s="480">
        <v>58</v>
      </c>
      <c r="N38" s="78"/>
      <c r="O38" s="78">
        <f t="shared" si="3"/>
        <v>183.28</v>
      </c>
      <c r="P38" s="1070">
        <f t="shared" si="22"/>
        <v>0</v>
      </c>
      <c r="Q38" s="1070">
        <f t="shared" si="22"/>
        <v>0</v>
      </c>
      <c r="R38" s="1070">
        <f t="shared" si="22"/>
        <v>0</v>
      </c>
      <c r="S38" s="1070">
        <f t="shared" si="22"/>
        <v>0</v>
      </c>
      <c r="T38" s="1070">
        <f t="shared" si="22"/>
        <v>0</v>
      </c>
      <c r="U38" s="1070">
        <f t="shared" si="22"/>
        <v>0</v>
      </c>
      <c r="V38" s="1070">
        <f t="shared" si="22"/>
        <v>2.2571428571428576</v>
      </c>
      <c r="W38" s="1070">
        <f t="shared" si="22"/>
        <v>0</v>
      </c>
      <c r="X38" s="463">
        <f t="shared" si="5"/>
        <v>2.2571428571428576</v>
      </c>
      <c r="Y38" s="78">
        <f t="shared" si="7"/>
        <v>81.199999999999989</v>
      </c>
      <c r="Z38" s="78"/>
      <c r="AA38" s="78">
        <f t="shared" si="6"/>
        <v>183.28</v>
      </c>
    </row>
    <row r="39" spans="2:27" hidden="1">
      <c r="B39">
        <v>166</v>
      </c>
      <c r="C39" s="1459">
        <v>45291</v>
      </c>
      <c r="D39" s="1070"/>
      <c r="E39" s="1070"/>
      <c r="F39" s="1295"/>
      <c r="G39" s="1295"/>
      <c r="H39" s="1295"/>
      <c r="I39" s="1295"/>
      <c r="J39" s="77">
        <v>1.08</v>
      </c>
      <c r="K39" s="1295"/>
      <c r="L39" s="463">
        <f t="shared" si="21"/>
        <v>1.08</v>
      </c>
      <c r="M39" s="480">
        <v>58</v>
      </c>
      <c r="N39" s="78"/>
      <c r="O39" s="78">
        <f t="shared" si="3"/>
        <v>62.64</v>
      </c>
      <c r="P39" s="1070">
        <f t="shared" si="22"/>
        <v>0</v>
      </c>
      <c r="Q39" s="1070">
        <f t="shared" si="22"/>
        <v>0</v>
      </c>
      <c r="R39" s="1070">
        <f t="shared" si="22"/>
        <v>0</v>
      </c>
      <c r="S39" s="1070">
        <f t="shared" si="22"/>
        <v>0</v>
      </c>
      <c r="T39" s="1070">
        <f t="shared" si="22"/>
        <v>0</v>
      </c>
      <c r="U39" s="1070">
        <f t="shared" si="22"/>
        <v>0</v>
      </c>
      <c r="V39" s="1070">
        <f t="shared" si="22"/>
        <v>0.77142857142857157</v>
      </c>
      <c r="W39" s="1070">
        <f t="shared" si="22"/>
        <v>0</v>
      </c>
      <c r="X39" s="463">
        <f t="shared" si="5"/>
        <v>0.77142857142857157</v>
      </c>
      <c r="Y39" s="78">
        <f t="shared" si="7"/>
        <v>81.199999999999989</v>
      </c>
      <c r="Z39" s="78"/>
      <c r="AA39" s="78">
        <f t="shared" si="6"/>
        <v>62.64</v>
      </c>
    </row>
    <row r="40" spans="2:27" hidden="1">
      <c r="B40">
        <v>167</v>
      </c>
      <c r="C40" s="1459">
        <v>45291</v>
      </c>
      <c r="D40" s="1070"/>
      <c r="E40" s="1070"/>
      <c r="F40" s="1295"/>
      <c r="G40" s="1295"/>
      <c r="H40" s="1295"/>
      <c r="I40" s="1295"/>
      <c r="J40" s="77">
        <v>0.46</v>
      </c>
      <c r="K40" s="1295"/>
      <c r="L40" s="463">
        <f t="shared" si="21"/>
        <v>0.46</v>
      </c>
      <c r="M40" s="480">
        <v>58</v>
      </c>
      <c r="N40" s="78"/>
      <c r="O40" s="78">
        <f t="shared" si="3"/>
        <v>26.68</v>
      </c>
      <c r="P40" s="1070">
        <f t="shared" si="22"/>
        <v>0</v>
      </c>
      <c r="Q40" s="1070">
        <f t="shared" si="22"/>
        <v>0</v>
      </c>
      <c r="R40" s="1070">
        <f t="shared" si="22"/>
        <v>0</v>
      </c>
      <c r="S40" s="1070">
        <f t="shared" si="22"/>
        <v>0</v>
      </c>
      <c r="T40" s="1070">
        <f t="shared" si="22"/>
        <v>0</v>
      </c>
      <c r="U40" s="1070">
        <f t="shared" si="22"/>
        <v>0</v>
      </c>
      <c r="V40" s="1070">
        <f t="shared" si="22"/>
        <v>0.32857142857142863</v>
      </c>
      <c r="W40" s="1070">
        <f t="shared" si="22"/>
        <v>0</v>
      </c>
      <c r="X40" s="463">
        <f t="shared" si="5"/>
        <v>0.32857142857142863</v>
      </c>
      <c r="Y40" s="78">
        <f t="shared" si="7"/>
        <v>81.199999999999989</v>
      </c>
      <c r="Z40" s="78"/>
      <c r="AA40" s="78">
        <f t="shared" si="6"/>
        <v>26.68</v>
      </c>
    </row>
    <row r="41" spans="2:27" hidden="1">
      <c r="B41">
        <v>168</v>
      </c>
      <c r="C41" s="1459">
        <v>45291</v>
      </c>
      <c r="D41" s="1070"/>
      <c r="E41" s="1070"/>
      <c r="F41" s="1295"/>
      <c r="G41" s="1295"/>
      <c r="H41" s="1295"/>
      <c r="I41" s="1295"/>
      <c r="J41" s="77">
        <v>3.98</v>
      </c>
      <c r="K41" s="1295"/>
      <c r="L41" s="463">
        <f t="shared" si="21"/>
        <v>3.98</v>
      </c>
      <c r="M41" s="480">
        <v>58</v>
      </c>
      <c r="N41" s="78"/>
      <c r="O41" s="78">
        <f t="shared" si="3"/>
        <v>230.84</v>
      </c>
      <c r="P41" s="1070">
        <f t="shared" si="22"/>
        <v>0</v>
      </c>
      <c r="Q41" s="1070">
        <f t="shared" si="22"/>
        <v>0</v>
      </c>
      <c r="R41" s="1070">
        <f t="shared" si="22"/>
        <v>0</v>
      </c>
      <c r="S41" s="1070">
        <f t="shared" si="22"/>
        <v>0</v>
      </c>
      <c r="T41" s="1070">
        <f t="shared" si="22"/>
        <v>0</v>
      </c>
      <c r="U41" s="1070">
        <f t="shared" si="22"/>
        <v>0</v>
      </c>
      <c r="V41" s="1070">
        <f t="shared" si="22"/>
        <v>2.842857142857143</v>
      </c>
      <c r="W41" s="1070">
        <f t="shared" si="22"/>
        <v>0</v>
      </c>
      <c r="X41" s="463">
        <f t="shared" si="5"/>
        <v>2.842857142857143</v>
      </c>
      <c r="Y41" s="78">
        <f t="shared" si="7"/>
        <v>81.199999999999989</v>
      </c>
      <c r="Z41" s="78"/>
      <c r="AA41" s="78">
        <f t="shared" si="6"/>
        <v>230.83999999999997</v>
      </c>
    </row>
    <row r="42" spans="2:27" hidden="1">
      <c r="B42">
        <v>169</v>
      </c>
      <c r="C42" s="1459">
        <v>45291</v>
      </c>
      <c r="D42" s="1070"/>
      <c r="E42" s="1070"/>
      <c r="F42" s="1295"/>
      <c r="G42" s="1295"/>
      <c r="H42" s="1295"/>
      <c r="I42" s="1295"/>
      <c r="J42" s="77">
        <v>1.34</v>
      </c>
      <c r="K42" s="1295"/>
      <c r="L42" s="463">
        <f t="shared" si="21"/>
        <v>1.34</v>
      </c>
      <c r="M42" s="480">
        <v>58</v>
      </c>
      <c r="N42" s="78"/>
      <c r="O42" s="78">
        <f t="shared" si="3"/>
        <v>77.72</v>
      </c>
      <c r="P42" s="1070">
        <f t="shared" si="22"/>
        <v>0</v>
      </c>
      <c r="Q42" s="1070">
        <f t="shared" si="22"/>
        <v>0</v>
      </c>
      <c r="R42" s="1070">
        <f t="shared" si="22"/>
        <v>0</v>
      </c>
      <c r="S42" s="1070">
        <f t="shared" si="22"/>
        <v>0</v>
      </c>
      <c r="T42" s="1070">
        <f t="shared" si="22"/>
        <v>0</v>
      </c>
      <c r="U42" s="1070">
        <f t="shared" si="22"/>
        <v>0</v>
      </c>
      <c r="V42" s="1070">
        <f t="shared" si="22"/>
        <v>0.9571428571428573</v>
      </c>
      <c r="W42" s="1070">
        <f t="shared" si="22"/>
        <v>0</v>
      </c>
      <c r="X42" s="463">
        <f t="shared" si="5"/>
        <v>0.9571428571428573</v>
      </c>
      <c r="Y42" s="78">
        <f t="shared" si="7"/>
        <v>81.199999999999989</v>
      </c>
      <c r="Z42" s="78"/>
      <c r="AA42" s="78">
        <f t="shared" si="6"/>
        <v>77.72</v>
      </c>
    </row>
    <row r="43" spans="2:27" hidden="1">
      <c r="B43">
        <v>170</v>
      </c>
      <c r="C43" s="1459">
        <v>45291</v>
      </c>
      <c r="D43" s="1070"/>
      <c r="E43" s="1070"/>
      <c r="F43" s="1295"/>
      <c r="G43" s="1295"/>
      <c r="H43" s="1295"/>
      <c r="I43" s="1295"/>
      <c r="J43" s="77">
        <v>1.46</v>
      </c>
      <c r="K43" s="1295"/>
      <c r="L43" s="463">
        <f t="shared" si="21"/>
        <v>1.46</v>
      </c>
      <c r="M43" s="480">
        <v>58</v>
      </c>
      <c r="N43" s="78"/>
      <c r="O43" s="78">
        <f t="shared" si="3"/>
        <v>84.679999999999993</v>
      </c>
      <c r="P43" s="1070">
        <f t="shared" si="22"/>
        <v>0</v>
      </c>
      <c r="Q43" s="1070">
        <f t="shared" si="22"/>
        <v>0</v>
      </c>
      <c r="R43" s="1070">
        <f t="shared" si="22"/>
        <v>0</v>
      </c>
      <c r="S43" s="1070">
        <f t="shared" si="22"/>
        <v>0</v>
      </c>
      <c r="T43" s="1070">
        <f t="shared" si="22"/>
        <v>0</v>
      </c>
      <c r="U43" s="1070">
        <f t="shared" si="22"/>
        <v>0</v>
      </c>
      <c r="V43" s="1070">
        <f t="shared" si="22"/>
        <v>1.0428571428571429</v>
      </c>
      <c r="W43" s="1070">
        <f t="shared" si="22"/>
        <v>0</v>
      </c>
      <c r="X43" s="463">
        <f t="shared" si="5"/>
        <v>1.0428571428571429</v>
      </c>
      <c r="Y43" s="78">
        <f t="shared" si="7"/>
        <v>81.199999999999989</v>
      </c>
      <c r="Z43" s="78"/>
      <c r="AA43" s="78">
        <f t="shared" si="6"/>
        <v>84.679999999999993</v>
      </c>
    </row>
    <row r="44" spans="2:27" hidden="1">
      <c r="B44">
        <v>241</v>
      </c>
      <c r="C44" s="1459">
        <v>45363</v>
      </c>
      <c r="H44" s="79">
        <v>24.54</v>
      </c>
      <c r="I44" s="77">
        <v>30.26</v>
      </c>
      <c r="L44" s="463">
        <f t="shared" si="21"/>
        <v>54.8</v>
      </c>
      <c r="M44" s="480">
        <v>60</v>
      </c>
      <c r="N44" s="78"/>
      <c r="O44" s="78">
        <f t="shared" si="3"/>
        <v>3288</v>
      </c>
      <c r="P44" s="1070">
        <f t="shared" si="22"/>
        <v>0</v>
      </c>
      <c r="Q44" s="1070">
        <f t="shared" si="22"/>
        <v>0</v>
      </c>
      <c r="R44" s="1070">
        <f t="shared" si="22"/>
        <v>0</v>
      </c>
      <c r="S44" s="1070">
        <f t="shared" si="22"/>
        <v>0</v>
      </c>
      <c r="T44" s="1070">
        <f t="shared" si="22"/>
        <v>17.528571428571428</v>
      </c>
      <c r="U44" s="1070">
        <f t="shared" si="22"/>
        <v>21.614285714285717</v>
      </c>
      <c r="V44" s="1070">
        <f t="shared" si="22"/>
        <v>0</v>
      </c>
      <c r="W44" s="1070">
        <f t="shared" si="22"/>
        <v>0</v>
      </c>
      <c r="X44" s="463">
        <f t="shared" si="5"/>
        <v>39.142857142857146</v>
      </c>
      <c r="Y44" s="78">
        <f t="shared" si="7"/>
        <v>84</v>
      </c>
      <c r="Z44" s="78"/>
      <c r="AA44" s="78">
        <f t="shared" si="6"/>
        <v>3288.0000000000005</v>
      </c>
    </row>
    <row r="45" spans="2:27" ht="14.25" hidden="1" customHeight="1">
      <c r="B45">
        <v>242</v>
      </c>
      <c r="C45" s="1459">
        <v>45363</v>
      </c>
      <c r="H45" s="77">
        <v>30</v>
      </c>
      <c r="L45" s="463">
        <f t="shared" si="21"/>
        <v>30</v>
      </c>
      <c r="M45" s="480">
        <v>60</v>
      </c>
      <c r="N45" s="78"/>
      <c r="O45" s="78">
        <f t="shared" si="3"/>
        <v>1800</v>
      </c>
      <c r="P45" s="1070">
        <f t="shared" si="22"/>
        <v>0</v>
      </c>
      <c r="Q45" s="1070">
        <f t="shared" si="22"/>
        <v>0</v>
      </c>
      <c r="R45" s="1070">
        <f t="shared" si="22"/>
        <v>0</v>
      </c>
      <c r="S45" s="1070">
        <f t="shared" si="22"/>
        <v>0</v>
      </c>
      <c r="T45" s="1070">
        <f t="shared" si="22"/>
        <v>21.428571428571431</v>
      </c>
      <c r="U45" s="1070">
        <f t="shared" si="22"/>
        <v>0</v>
      </c>
      <c r="V45" s="1070">
        <f t="shared" si="22"/>
        <v>0</v>
      </c>
      <c r="W45" s="1070">
        <f t="shared" si="22"/>
        <v>0</v>
      </c>
      <c r="X45" s="463">
        <f t="shared" si="5"/>
        <v>21.428571428571431</v>
      </c>
      <c r="Y45" s="78">
        <f t="shared" si="7"/>
        <v>84</v>
      </c>
      <c r="Z45" s="78"/>
      <c r="AA45" s="78">
        <f t="shared" si="6"/>
        <v>1800.0000000000002</v>
      </c>
    </row>
    <row r="46" spans="2:27" hidden="1">
      <c r="B46">
        <v>243</v>
      </c>
      <c r="C46" s="1459">
        <v>45363</v>
      </c>
      <c r="H46" s="79">
        <v>6.63</v>
      </c>
      <c r="K46" s="77">
        <v>72.260000000000005</v>
      </c>
      <c r="L46" s="463">
        <f t="shared" si="21"/>
        <v>78.89</v>
      </c>
      <c r="M46" s="480">
        <v>60</v>
      </c>
      <c r="N46" s="78"/>
      <c r="O46" s="78">
        <f t="shared" si="3"/>
        <v>4733.3999999999996</v>
      </c>
      <c r="P46" s="1070">
        <f t="shared" si="22"/>
        <v>0</v>
      </c>
      <c r="Q46" s="1070">
        <f t="shared" si="22"/>
        <v>0</v>
      </c>
      <c r="R46" s="1070">
        <f t="shared" si="22"/>
        <v>0</v>
      </c>
      <c r="S46" s="1070">
        <f t="shared" si="22"/>
        <v>0</v>
      </c>
      <c r="T46" s="1070">
        <f t="shared" si="22"/>
        <v>4.7357142857142858</v>
      </c>
      <c r="U46" s="1070">
        <f t="shared" si="22"/>
        <v>0</v>
      </c>
      <c r="V46" s="1070">
        <f t="shared" si="22"/>
        <v>0</v>
      </c>
      <c r="W46" s="1070">
        <f t="shared" si="22"/>
        <v>51.614285714285721</v>
      </c>
      <c r="X46" s="463">
        <f t="shared" si="5"/>
        <v>56.350000000000009</v>
      </c>
      <c r="Y46" s="78">
        <f t="shared" si="7"/>
        <v>84</v>
      </c>
      <c r="Z46" s="78"/>
      <c r="AA46" s="78">
        <f t="shared" si="6"/>
        <v>4733.4000000000005</v>
      </c>
    </row>
    <row r="47" spans="2:27" hidden="1">
      <c r="B47">
        <v>244</v>
      </c>
      <c r="C47" s="1459">
        <v>45363</v>
      </c>
      <c r="K47" s="77">
        <v>73.98</v>
      </c>
      <c r="L47" s="463">
        <f t="shared" si="21"/>
        <v>73.98</v>
      </c>
      <c r="M47" s="480">
        <v>60</v>
      </c>
      <c r="N47" s="78"/>
      <c r="O47" s="78">
        <f t="shared" si="3"/>
        <v>4438.8</v>
      </c>
      <c r="P47" s="1070">
        <f t="shared" si="22"/>
        <v>0</v>
      </c>
      <c r="Q47" s="1070">
        <f t="shared" si="22"/>
        <v>0</v>
      </c>
      <c r="R47" s="1070">
        <f t="shared" si="22"/>
        <v>0</v>
      </c>
      <c r="S47" s="1070">
        <f t="shared" si="22"/>
        <v>0</v>
      </c>
      <c r="T47" s="1070">
        <f t="shared" si="22"/>
        <v>0</v>
      </c>
      <c r="U47" s="1070">
        <f t="shared" si="22"/>
        <v>0</v>
      </c>
      <c r="V47" s="1070">
        <f t="shared" si="22"/>
        <v>0</v>
      </c>
      <c r="W47" s="1070">
        <f t="shared" si="22"/>
        <v>52.842857142857149</v>
      </c>
      <c r="X47" s="463">
        <f t="shared" si="5"/>
        <v>52.842857142857149</v>
      </c>
      <c r="Y47" s="78">
        <f t="shared" si="7"/>
        <v>84</v>
      </c>
      <c r="Z47" s="78"/>
      <c r="AA47" s="78">
        <f t="shared" si="6"/>
        <v>4438.8</v>
      </c>
    </row>
    <row r="48" spans="2:27" hidden="1">
      <c r="B48">
        <v>245</v>
      </c>
      <c r="C48" s="1459">
        <v>45363</v>
      </c>
      <c r="K48" s="77">
        <v>67.02</v>
      </c>
      <c r="L48" s="463">
        <f t="shared" si="21"/>
        <v>67.02</v>
      </c>
      <c r="M48" s="480">
        <v>60</v>
      </c>
      <c r="N48" s="78"/>
      <c r="O48" s="78">
        <f t="shared" si="3"/>
        <v>4021.2</v>
      </c>
      <c r="P48" s="1070">
        <f t="shared" ref="P48:W65" si="23">(D48/$P$6)</f>
        <v>0</v>
      </c>
      <c r="Q48" s="1070">
        <f t="shared" si="23"/>
        <v>0</v>
      </c>
      <c r="R48" s="1070">
        <f t="shared" si="23"/>
        <v>0</v>
      </c>
      <c r="S48" s="1070">
        <f t="shared" si="23"/>
        <v>0</v>
      </c>
      <c r="T48" s="1070">
        <f t="shared" si="23"/>
        <v>0</v>
      </c>
      <c r="U48" s="1070">
        <f t="shared" si="23"/>
        <v>0</v>
      </c>
      <c r="V48" s="1070">
        <f t="shared" si="23"/>
        <v>0</v>
      </c>
      <c r="W48" s="1070">
        <f t="shared" si="23"/>
        <v>47.871428571428574</v>
      </c>
      <c r="X48" s="463">
        <f t="shared" si="5"/>
        <v>47.871428571428574</v>
      </c>
      <c r="Y48" s="78">
        <f t="shared" si="7"/>
        <v>84</v>
      </c>
      <c r="Z48" s="78"/>
      <c r="AA48" s="78">
        <f t="shared" si="6"/>
        <v>4021.2000000000003</v>
      </c>
    </row>
    <row r="49" spans="2:27" hidden="1">
      <c r="B49">
        <v>246</v>
      </c>
      <c r="C49" s="1459">
        <v>45363</v>
      </c>
      <c r="K49" s="77">
        <v>67.900000000000006</v>
      </c>
      <c r="L49" s="463">
        <f t="shared" si="21"/>
        <v>67.900000000000006</v>
      </c>
      <c r="M49" s="480">
        <v>60</v>
      </c>
      <c r="N49" s="78"/>
      <c r="O49" s="78">
        <f t="shared" si="3"/>
        <v>4074.0000000000005</v>
      </c>
      <c r="P49" s="1070">
        <f t="shared" si="23"/>
        <v>0</v>
      </c>
      <c r="Q49" s="1070">
        <f t="shared" si="23"/>
        <v>0</v>
      </c>
      <c r="R49" s="1070">
        <f t="shared" si="23"/>
        <v>0</v>
      </c>
      <c r="S49" s="1070">
        <f t="shared" si="23"/>
        <v>0</v>
      </c>
      <c r="T49" s="1070">
        <f t="shared" si="23"/>
        <v>0</v>
      </c>
      <c r="U49" s="1070">
        <f t="shared" si="23"/>
        <v>0</v>
      </c>
      <c r="V49" s="1070">
        <f t="shared" si="23"/>
        <v>0</v>
      </c>
      <c r="W49" s="1070">
        <f t="shared" si="23"/>
        <v>48.500000000000007</v>
      </c>
      <c r="X49" s="463">
        <f t="shared" si="5"/>
        <v>48.500000000000007</v>
      </c>
      <c r="Y49" s="78">
        <f t="shared" si="7"/>
        <v>84</v>
      </c>
      <c r="Z49" s="78"/>
      <c r="AA49" s="78">
        <f t="shared" si="6"/>
        <v>4074.0000000000005</v>
      </c>
    </row>
    <row r="50" spans="2:27" hidden="1">
      <c r="B50">
        <v>247</v>
      </c>
      <c r="C50" s="1459">
        <v>45363</v>
      </c>
      <c r="K50" s="77">
        <v>71.42</v>
      </c>
      <c r="L50" s="463">
        <f t="shared" si="21"/>
        <v>71.42</v>
      </c>
      <c r="M50" s="480">
        <v>60</v>
      </c>
      <c r="N50" s="78"/>
      <c r="O50" s="78">
        <f t="shared" si="3"/>
        <v>4285.2</v>
      </c>
      <c r="P50" s="1070">
        <f t="shared" si="23"/>
        <v>0</v>
      </c>
      <c r="Q50" s="1070">
        <f t="shared" si="23"/>
        <v>0</v>
      </c>
      <c r="R50" s="1070">
        <f t="shared" si="23"/>
        <v>0</v>
      </c>
      <c r="S50" s="1070">
        <f t="shared" si="23"/>
        <v>0</v>
      </c>
      <c r="T50" s="1070">
        <f t="shared" si="23"/>
        <v>0</v>
      </c>
      <c r="U50" s="1070">
        <f t="shared" si="23"/>
        <v>0</v>
      </c>
      <c r="V50" s="1070">
        <f t="shared" si="23"/>
        <v>0</v>
      </c>
      <c r="W50" s="1070">
        <f t="shared" si="23"/>
        <v>51.01428571428572</v>
      </c>
      <c r="X50" s="463">
        <f t="shared" si="5"/>
        <v>51.01428571428572</v>
      </c>
      <c r="Y50" s="78">
        <f t="shared" si="7"/>
        <v>84</v>
      </c>
      <c r="Z50" s="78"/>
      <c r="AA50" s="78">
        <f t="shared" si="6"/>
        <v>4285.2000000000007</v>
      </c>
    </row>
    <row r="51" spans="2:27" hidden="1">
      <c r="B51">
        <v>248</v>
      </c>
      <c r="C51" s="1459">
        <v>45363</v>
      </c>
      <c r="K51" s="77">
        <v>68.819999999999993</v>
      </c>
      <c r="L51" s="463">
        <f t="shared" si="21"/>
        <v>68.819999999999993</v>
      </c>
      <c r="M51" s="480">
        <v>60</v>
      </c>
      <c r="N51" s="78"/>
      <c r="O51" s="78">
        <f t="shared" si="3"/>
        <v>4129.2</v>
      </c>
      <c r="P51" s="1070">
        <f t="shared" si="23"/>
        <v>0</v>
      </c>
      <c r="Q51" s="1070">
        <f t="shared" si="23"/>
        <v>0</v>
      </c>
      <c r="R51" s="1070">
        <f t="shared" si="23"/>
        <v>0</v>
      </c>
      <c r="S51" s="1070">
        <f t="shared" si="23"/>
        <v>0</v>
      </c>
      <c r="T51" s="1070">
        <f t="shared" si="23"/>
        <v>0</v>
      </c>
      <c r="U51" s="1070">
        <f t="shared" si="23"/>
        <v>0</v>
      </c>
      <c r="V51" s="1070">
        <f t="shared" si="23"/>
        <v>0</v>
      </c>
      <c r="W51" s="1070">
        <f t="shared" si="23"/>
        <v>49.157142857142858</v>
      </c>
      <c r="X51" s="463">
        <f t="shared" si="5"/>
        <v>49.157142857142858</v>
      </c>
      <c r="Y51" s="78">
        <f t="shared" si="7"/>
        <v>84</v>
      </c>
      <c r="Z51" s="78"/>
      <c r="AA51" s="78">
        <f t="shared" si="6"/>
        <v>4129.2</v>
      </c>
    </row>
    <row r="52" spans="2:27" hidden="1">
      <c r="B52">
        <v>249</v>
      </c>
      <c r="C52" s="1459">
        <v>45363</v>
      </c>
      <c r="K52" s="77">
        <v>72.14</v>
      </c>
      <c r="L52" s="463">
        <f t="shared" si="21"/>
        <v>72.14</v>
      </c>
      <c r="M52" s="480">
        <v>60</v>
      </c>
      <c r="N52" s="78"/>
      <c r="O52" s="78">
        <f t="shared" si="3"/>
        <v>4328.3999999999996</v>
      </c>
      <c r="P52" s="1070">
        <f t="shared" si="23"/>
        <v>0</v>
      </c>
      <c r="Q52" s="1070">
        <f t="shared" si="23"/>
        <v>0</v>
      </c>
      <c r="R52" s="1070">
        <f t="shared" si="23"/>
        <v>0</v>
      </c>
      <c r="S52" s="1070">
        <f t="shared" si="23"/>
        <v>0</v>
      </c>
      <c r="T52" s="1070">
        <f t="shared" si="23"/>
        <v>0</v>
      </c>
      <c r="U52" s="1070">
        <f t="shared" si="23"/>
        <v>0</v>
      </c>
      <c r="V52" s="1070">
        <f t="shared" si="23"/>
        <v>0</v>
      </c>
      <c r="W52" s="1070">
        <f t="shared" si="23"/>
        <v>51.528571428571432</v>
      </c>
      <c r="X52" s="463">
        <f t="shared" si="5"/>
        <v>51.528571428571432</v>
      </c>
      <c r="Y52" s="78">
        <f t="shared" si="7"/>
        <v>84</v>
      </c>
      <c r="Z52" s="78"/>
      <c r="AA52" s="78">
        <f t="shared" si="6"/>
        <v>4328.4000000000005</v>
      </c>
    </row>
    <row r="53" spans="2:27" hidden="1">
      <c r="B53">
        <v>250</v>
      </c>
      <c r="C53" s="1459">
        <v>45363</v>
      </c>
      <c r="K53" s="77">
        <v>74.8</v>
      </c>
      <c r="L53" s="463">
        <f t="shared" si="21"/>
        <v>74.8</v>
      </c>
      <c r="M53" s="480">
        <v>60</v>
      </c>
      <c r="N53" s="78"/>
      <c r="O53" s="78">
        <f t="shared" si="3"/>
        <v>4488</v>
      </c>
      <c r="P53" s="1070">
        <f t="shared" si="23"/>
        <v>0</v>
      </c>
      <c r="Q53" s="1070">
        <f t="shared" si="23"/>
        <v>0</v>
      </c>
      <c r="R53" s="1070">
        <f t="shared" si="23"/>
        <v>0</v>
      </c>
      <c r="S53" s="1070">
        <f t="shared" si="23"/>
        <v>0</v>
      </c>
      <c r="T53" s="1070">
        <f t="shared" si="23"/>
        <v>0</v>
      </c>
      <c r="U53" s="1070">
        <f t="shared" si="23"/>
        <v>0</v>
      </c>
      <c r="V53" s="1070">
        <f t="shared" si="23"/>
        <v>0</v>
      </c>
      <c r="W53" s="1070">
        <f t="shared" si="23"/>
        <v>53.428571428571431</v>
      </c>
      <c r="X53" s="463">
        <f t="shared" si="5"/>
        <v>53.428571428571431</v>
      </c>
      <c r="Y53" s="78">
        <f t="shared" si="7"/>
        <v>84</v>
      </c>
      <c r="Z53" s="78"/>
      <c r="AA53" s="78">
        <f t="shared" si="6"/>
        <v>4488</v>
      </c>
    </row>
    <row r="54" spans="2:27" hidden="1">
      <c r="B54">
        <v>252</v>
      </c>
      <c r="C54" s="1459">
        <v>45363</v>
      </c>
      <c r="J54" s="77">
        <v>0.7</v>
      </c>
      <c r="K54" s="77">
        <v>72.819999999999993</v>
      </c>
      <c r="L54" s="463">
        <f t="shared" si="21"/>
        <v>73.52</v>
      </c>
      <c r="M54" s="480">
        <v>60</v>
      </c>
      <c r="N54" s="78"/>
      <c r="O54" s="78">
        <f t="shared" si="3"/>
        <v>4411.2</v>
      </c>
      <c r="P54" s="1070">
        <f t="shared" si="23"/>
        <v>0</v>
      </c>
      <c r="Q54" s="1070">
        <f t="shared" si="23"/>
        <v>0</v>
      </c>
      <c r="R54" s="1070">
        <f t="shared" si="23"/>
        <v>0</v>
      </c>
      <c r="S54" s="1070">
        <f t="shared" si="23"/>
        <v>0</v>
      </c>
      <c r="T54" s="1070">
        <f t="shared" si="23"/>
        <v>0</v>
      </c>
      <c r="U54" s="1070">
        <f t="shared" si="23"/>
        <v>0</v>
      </c>
      <c r="V54" s="1070">
        <f t="shared" si="23"/>
        <v>0.5</v>
      </c>
      <c r="W54" s="1070">
        <f t="shared" si="23"/>
        <v>52.014285714285712</v>
      </c>
      <c r="X54" s="463">
        <f t="shared" si="5"/>
        <v>52.514285714285712</v>
      </c>
      <c r="Y54" s="78">
        <f t="shared" si="7"/>
        <v>84</v>
      </c>
      <c r="Z54" s="78"/>
      <c r="AA54" s="78">
        <f t="shared" si="6"/>
        <v>4411.2</v>
      </c>
    </row>
    <row r="55" spans="2:27" hidden="1">
      <c r="B55">
        <v>253</v>
      </c>
      <c r="C55" s="1459">
        <v>45363</v>
      </c>
      <c r="J55" s="77">
        <v>75.66</v>
      </c>
      <c r="L55" s="463">
        <f t="shared" si="21"/>
        <v>75.66</v>
      </c>
      <c r="M55" s="480">
        <v>60</v>
      </c>
      <c r="N55" s="78"/>
      <c r="O55" s="78">
        <f t="shared" si="3"/>
        <v>4539.5999999999995</v>
      </c>
      <c r="P55" s="1070">
        <f t="shared" si="23"/>
        <v>0</v>
      </c>
      <c r="Q55" s="1070">
        <f t="shared" si="23"/>
        <v>0</v>
      </c>
      <c r="R55" s="1070">
        <f t="shared" si="23"/>
        <v>0</v>
      </c>
      <c r="S55" s="1070">
        <f t="shared" si="23"/>
        <v>0</v>
      </c>
      <c r="T55" s="1070">
        <f t="shared" si="23"/>
        <v>0</v>
      </c>
      <c r="U55" s="1070">
        <f t="shared" si="23"/>
        <v>0</v>
      </c>
      <c r="V55" s="1070">
        <f t="shared" si="23"/>
        <v>54.042857142857144</v>
      </c>
      <c r="W55" s="1070">
        <f t="shared" si="23"/>
        <v>0</v>
      </c>
      <c r="X55" s="463">
        <f t="shared" si="5"/>
        <v>54.042857142857144</v>
      </c>
      <c r="Y55" s="78">
        <f t="shared" si="7"/>
        <v>84</v>
      </c>
      <c r="Z55" s="78"/>
      <c r="AA55" s="78">
        <f t="shared" si="6"/>
        <v>4539.6000000000004</v>
      </c>
    </row>
    <row r="56" spans="2:27" hidden="1">
      <c r="B56">
        <v>254</v>
      </c>
      <c r="C56" s="1459">
        <v>45363</v>
      </c>
      <c r="J56" s="77">
        <v>75.739999999999995</v>
      </c>
      <c r="L56" s="463">
        <f t="shared" si="21"/>
        <v>75.739999999999995</v>
      </c>
      <c r="M56" s="480">
        <v>60</v>
      </c>
      <c r="N56" s="78"/>
      <c r="O56" s="78">
        <f t="shared" si="3"/>
        <v>4544.3999999999996</v>
      </c>
      <c r="P56" s="1070">
        <f t="shared" si="23"/>
        <v>0</v>
      </c>
      <c r="Q56" s="1070">
        <f t="shared" si="23"/>
        <v>0</v>
      </c>
      <c r="R56" s="1070">
        <f t="shared" si="23"/>
        <v>0</v>
      </c>
      <c r="S56" s="1070">
        <f t="shared" si="23"/>
        <v>0</v>
      </c>
      <c r="T56" s="1070">
        <f t="shared" si="23"/>
        <v>0</v>
      </c>
      <c r="U56" s="1070">
        <f t="shared" si="23"/>
        <v>0</v>
      </c>
      <c r="V56" s="1070">
        <f t="shared" si="23"/>
        <v>54.1</v>
      </c>
      <c r="W56" s="1070">
        <f t="shared" si="23"/>
        <v>0</v>
      </c>
      <c r="X56" s="463">
        <f t="shared" si="5"/>
        <v>54.1</v>
      </c>
      <c r="Y56" s="78">
        <f t="shared" si="7"/>
        <v>84</v>
      </c>
      <c r="Z56" s="78"/>
      <c r="AA56" s="78">
        <f t="shared" si="6"/>
        <v>4544.4000000000005</v>
      </c>
    </row>
    <row r="57" spans="2:27" hidden="1">
      <c r="B57">
        <v>255</v>
      </c>
      <c r="C57" s="1459">
        <v>45363</v>
      </c>
      <c r="J57" s="77">
        <v>75.099999999999994</v>
      </c>
      <c r="L57" s="463">
        <f t="shared" si="21"/>
        <v>75.099999999999994</v>
      </c>
      <c r="M57" s="480">
        <v>60</v>
      </c>
      <c r="N57" s="78"/>
      <c r="O57" s="78">
        <f t="shared" si="3"/>
        <v>4506</v>
      </c>
      <c r="P57" s="1070">
        <f t="shared" si="23"/>
        <v>0</v>
      </c>
      <c r="Q57" s="1070">
        <f t="shared" si="23"/>
        <v>0</v>
      </c>
      <c r="R57" s="1070">
        <f t="shared" si="23"/>
        <v>0</v>
      </c>
      <c r="S57" s="1070">
        <f t="shared" si="23"/>
        <v>0</v>
      </c>
      <c r="T57" s="1070">
        <f t="shared" si="23"/>
        <v>0</v>
      </c>
      <c r="U57" s="1070">
        <f t="shared" si="23"/>
        <v>0</v>
      </c>
      <c r="V57" s="1070">
        <f t="shared" si="23"/>
        <v>53.642857142857139</v>
      </c>
      <c r="W57" s="1070">
        <f t="shared" si="23"/>
        <v>0</v>
      </c>
      <c r="X57" s="463">
        <f t="shared" si="5"/>
        <v>53.642857142857139</v>
      </c>
      <c r="Y57" s="78">
        <f t="shared" si="7"/>
        <v>84</v>
      </c>
      <c r="Z57" s="78"/>
      <c r="AA57" s="78">
        <f t="shared" si="6"/>
        <v>4506</v>
      </c>
    </row>
    <row r="58" spans="2:27" hidden="1">
      <c r="B58">
        <v>256</v>
      </c>
      <c r="C58" s="1459">
        <v>45363</v>
      </c>
      <c r="J58" s="77">
        <v>70.819999999999993</v>
      </c>
      <c r="L58" s="463">
        <f t="shared" si="21"/>
        <v>70.819999999999993</v>
      </c>
      <c r="M58" s="480">
        <v>60</v>
      </c>
      <c r="N58" s="78"/>
      <c r="O58" s="78">
        <f t="shared" si="3"/>
        <v>4249.2</v>
      </c>
      <c r="P58" s="1070">
        <f t="shared" si="23"/>
        <v>0</v>
      </c>
      <c r="Q58" s="1070">
        <f t="shared" si="23"/>
        <v>0</v>
      </c>
      <c r="R58" s="1070">
        <f t="shared" si="23"/>
        <v>0</v>
      </c>
      <c r="S58" s="1070">
        <f t="shared" si="23"/>
        <v>0</v>
      </c>
      <c r="T58" s="1070">
        <f t="shared" si="23"/>
        <v>0</v>
      </c>
      <c r="U58" s="1070">
        <f t="shared" si="23"/>
        <v>0</v>
      </c>
      <c r="V58" s="1070">
        <f t="shared" si="23"/>
        <v>50.585714285714282</v>
      </c>
      <c r="W58" s="1070">
        <f t="shared" si="23"/>
        <v>0</v>
      </c>
      <c r="X58" s="463">
        <f t="shared" si="5"/>
        <v>50.585714285714282</v>
      </c>
      <c r="Y58" s="78">
        <f t="shared" si="7"/>
        <v>84</v>
      </c>
      <c r="Z58" s="78"/>
      <c r="AA58" s="78">
        <f t="shared" si="6"/>
        <v>4249.2</v>
      </c>
    </row>
    <row r="59" spans="2:27" hidden="1">
      <c r="B59">
        <v>257</v>
      </c>
      <c r="C59" s="1459">
        <v>45363</v>
      </c>
      <c r="J59" s="77">
        <v>70.34</v>
      </c>
      <c r="L59" s="463">
        <f t="shared" si="21"/>
        <v>70.34</v>
      </c>
      <c r="M59" s="480">
        <v>60</v>
      </c>
      <c r="N59" s="78"/>
      <c r="O59" s="78">
        <f t="shared" si="3"/>
        <v>4220.4000000000005</v>
      </c>
      <c r="P59" s="1070">
        <f t="shared" si="23"/>
        <v>0</v>
      </c>
      <c r="Q59" s="1070">
        <f t="shared" si="23"/>
        <v>0</v>
      </c>
      <c r="R59" s="1070">
        <f t="shared" si="23"/>
        <v>0</v>
      </c>
      <c r="S59" s="1070">
        <f t="shared" si="23"/>
        <v>0</v>
      </c>
      <c r="T59" s="1070">
        <f t="shared" si="23"/>
        <v>0</v>
      </c>
      <c r="U59" s="1070">
        <f t="shared" si="23"/>
        <v>0</v>
      </c>
      <c r="V59" s="1070">
        <f t="shared" si="23"/>
        <v>50.242857142857147</v>
      </c>
      <c r="W59" s="1070">
        <f t="shared" si="23"/>
        <v>0</v>
      </c>
      <c r="X59" s="463">
        <f t="shared" si="5"/>
        <v>50.242857142857147</v>
      </c>
      <c r="Y59" s="78">
        <f t="shared" si="7"/>
        <v>84</v>
      </c>
      <c r="Z59" s="78"/>
      <c r="AA59" s="78">
        <f t="shared" si="6"/>
        <v>4220.4000000000005</v>
      </c>
    </row>
    <row r="60" spans="2:27" hidden="1">
      <c r="B60">
        <v>258</v>
      </c>
      <c r="C60" s="1459">
        <v>45363</v>
      </c>
      <c r="J60" s="77">
        <v>74.3</v>
      </c>
      <c r="L60" s="463">
        <f t="shared" si="21"/>
        <v>74.3</v>
      </c>
      <c r="M60" s="480">
        <v>60</v>
      </c>
      <c r="N60" s="78"/>
      <c r="O60" s="78">
        <f t="shared" si="3"/>
        <v>4458</v>
      </c>
      <c r="P60" s="1070">
        <f t="shared" si="23"/>
        <v>0</v>
      </c>
      <c r="Q60" s="1070">
        <f t="shared" si="23"/>
        <v>0</v>
      </c>
      <c r="R60" s="1070">
        <f t="shared" si="23"/>
        <v>0</v>
      </c>
      <c r="S60" s="1070">
        <f t="shared" si="23"/>
        <v>0</v>
      </c>
      <c r="T60" s="1070">
        <f t="shared" si="23"/>
        <v>0</v>
      </c>
      <c r="U60" s="1070">
        <f t="shared" si="23"/>
        <v>0</v>
      </c>
      <c r="V60" s="1070">
        <f t="shared" si="23"/>
        <v>53.071428571428569</v>
      </c>
      <c r="W60" s="1070">
        <f t="shared" si="23"/>
        <v>0</v>
      </c>
      <c r="X60" s="463">
        <f t="shared" si="5"/>
        <v>53.071428571428569</v>
      </c>
      <c r="Y60" s="78">
        <f t="shared" si="7"/>
        <v>84</v>
      </c>
      <c r="Z60" s="78"/>
      <c r="AA60" s="78">
        <f t="shared" si="6"/>
        <v>4458</v>
      </c>
    </row>
    <row r="61" spans="2:27" hidden="1">
      <c r="B61">
        <v>259</v>
      </c>
      <c r="C61" s="1459">
        <v>45363</v>
      </c>
      <c r="J61" s="77">
        <v>50.02</v>
      </c>
      <c r="L61" s="463">
        <f t="shared" si="21"/>
        <v>50.02</v>
      </c>
      <c r="M61" s="480">
        <v>60</v>
      </c>
      <c r="N61" s="78"/>
      <c r="O61" s="78">
        <f t="shared" si="3"/>
        <v>3001.2000000000003</v>
      </c>
      <c r="P61" s="1070">
        <f t="shared" si="23"/>
        <v>0</v>
      </c>
      <c r="Q61" s="1070">
        <f t="shared" si="23"/>
        <v>0</v>
      </c>
      <c r="R61" s="1070">
        <f t="shared" si="23"/>
        <v>0</v>
      </c>
      <c r="S61" s="1070">
        <f t="shared" si="23"/>
        <v>0</v>
      </c>
      <c r="T61" s="1070">
        <f t="shared" si="23"/>
        <v>0</v>
      </c>
      <c r="U61" s="1070">
        <f t="shared" si="23"/>
        <v>0</v>
      </c>
      <c r="V61" s="1070">
        <f t="shared" si="23"/>
        <v>35.728571428571435</v>
      </c>
      <c r="W61" s="1070">
        <f t="shared" si="23"/>
        <v>0</v>
      </c>
      <c r="X61" s="463">
        <f t="shared" si="5"/>
        <v>35.728571428571435</v>
      </c>
      <c r="Y61" s="78">
        <f t="shared" si="7"/>
        <v>84</v>
      </c>
      <c r="Z61" s="78"/>
      <c r="AA61" s="78">
        <f t="shared" si="6"/>
        <v>3001.2000000000007</v>
      </c>
    </row>
    <row r="62" spans="2:27" hidden="1">
      <c r="B62">
        <v>260</v>
      </c>
      <c r="C62" s="1459">
        <v>45399</v>
      </c>
      <c r="F62" s="77">
        <v>20.2</v>
      </c>
      <c r="L62" s="463">
        <f t="shared" si="21"/>
        <v>20.2</v>
      </c>
      <c r="M62" s="480">
        <v>60</v>
      </c>
      <c r="O62" s="78">
        <f t="shared" si="3"/>
        <v>1212</v>
      </c>
      <c r="R62" s="1070">
        <f t="shared" si="23"/>
        <v>14.428571428571429</v>
      </c>
      <c r="V62" s="1070">
        <f t="shared" si="23"/>
        <v>0</v>
      </c>
      <c r="X62" s="463">
        <f t="shared" si="5"/>
        <v>14.428571428571429</v>
      </c>
      <c r="Y62" s="78">
        <f t="shared" si="7"/>
        <v>84</v>
      </c>
      <c r="AA62" s="78">
        <f>(X62*Y62)</f>
        <v>1212</v>
      </c>
    </row>
    <row r="63" spans="2:27" hidden="1">
      <c r="B63">
        <v>261</v>
      </c>
      <c r="C63" s="1459">
        <v>45411</v>
      </c>
      <c r="J63" s="77">
        <v>71.88</v>
      </c>
      <c r="L63" s="463">
        <f t="shared" si="21"/>
        <v>71.88</v>
      </c>
      <c r="M63" s="480">
        <v>60</v>
      </c>
      <c r="O63" s="78">
        <f t="shared" si="3"/>
        <v>4312.7999999999993</v>
      </c>
      <c r="V63" s="1070">
        <f t="shared" si="23"/>
        <v>51.342857142857142</v>
      </c>
      <c r="X63" s="463">
        <f t="shared" si="5"/>
        <v>51.342857142857142</v>
      </c>
      <c r="Y63" s="78">
        <f t="shared" si="7"/>
        <v>84</v>
      </c>
      <c r="AA63" s="78">
        <f t="shared" ref="AA63:AA65" si="24">(X63*Y63)</f>
        <v>4312.8</v>
      </c>
    </row>
    <row r="64" spans="2:27" hidden="1">
      <c r="B64">
        <v>262</v>
      </c>
      <c r="C64" s="1459">
        <v>45411</v>
      </c>
      <c r="J64" s="77">
        <v>2.38</v>
      </c>
      <c r="L64" s="463">
        <f t="shared" si="21"/>
        <v>2.38</v>
      </c>
      <c r="M64" s="480">
        <v>60</v>
      </c>
      <c r="O64" s="78">
        <f t="shared" si="3"/>
        <v>142.79999999999998</v>
      </c>
      <c r="V64" s="1070">
        <f t="shared" si="23"/>
        <v>1.7</v>
      </c>
      <c r="X64" s="463">
        <f t="shared" si="5"/>
        <v>1.7</v>
      </c>
      <c r="Y64" s="78">
        <f t="shared" si="7"/>
        <v>84</v>
      </c>
      <c r="AA64" s="78">
        <f t="shared" si="24"/>
        <v>142.79999999999998</v>
      </c>
    </row>
    <row r="65" spans="2:27" hidden="1">
      <c r="B65">
        <v>263</v>
      </c>
      <c r="C65" s="1459">
        <v>45414</v>
      </c>
      <c r="J65" s="77">
        <v>2.1</v>
      </c>
      <c r="L65" s="463">
        <f t="shared" si="21"/>
        <v>2.1</v>
      </c>
      <c r="M65" s="480">
        <v>60</v>
      </c>
      <c r="O65" s="78">
        <f t="shared" si="3"/>
        <v>126</v>
      </c>
      <c r="V65" s="79">
        <f t="shared" si="23"/>
        <v>1.5000000000000002</v>
      </c>
      <c r="X65" s="463">
        <f t="shared" si="5"/>
        <v>1.5000000000000002</v>
      </c>
      <c r="Y65" s="78">
        <f t="shared" si="7"/>
        <v>84</v>
      </c>
      <c r="AA65" s="78">
        <f t="shared" si="24"/>
        <v>126.00000000000001</v>
      </c>
    </row>
    <row r="66" spans="2:27" hidden="1">
      <c r="B66">
        <v>264</v>
      </c>
      <c r="C66" s="1459">
        <v>45436</v>
      </c>
      <c r="F66" s="77">
        <v>60.9</v>
      </c>
      <c r="L66" s="463">
        <f t="shared" si="21"/>
        <v>60.9</v>
      </c>
    </row>
  </sheetData>
  <autoFilter ref="B8:AA66" xr:uid="{0E177246-EEF8-4B2E-ACD5-EE72B033A581}">
    <filterColumn colId="1">
      <filters>
        <dateGroupItem year="2022" dateTimeGrouping="year"/>
      </filters>
    </filterColumn>
  </autoFilter>
  <conditionalFormatting sqref="P9:W14 V62:V64 P16:W61">
    <cfRule type="cellIs" dxfId="6" priority="3" operator="equal">
      <formula>0</formula>
    </cfRule>
  </conditionalFormatting>
  <conditionalFormatting sqref="R62">
    <cfRule type="cellIs" dxfId="5" priority="2" operator="equal">
      <formula>0</formula>
    </cfRule>
  </conditionalFormatting>
  <conditionalFormatting sqref="P15:W15">
    <cfRule type="cellIs" dxfId="4" priority="1" operator="equal">
      <formula>0</formula>
    </cfRule>
  </conditionalFormatting>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B887-E2F4-46E2-9583-AB967F78578C}">
  <sheetPr filterMode="1"/>
  <dimension ref="B1:AA254"/>
  <sheetViews>
    <sheetView workbookViewId="0"/>
  </sheetViews>
  <sheetFormatPr baseColWidth="10" defaultRowHeight="15"/>
  <cols>
    <col min="2" max="2" width="12.28515625" customWidth="1"/>
    <col min="3" max="3" width="12.85546875" bestFit="1" customWidth="1"/>
    <col min="4" max="5" width="12.5703125" style="1286" customWidth="1"/>
    <col min="6" max="12" width="12.5703125" style="77" customWidth="1"/>
    <col min="13" max="13" width="12.5703125" style="1359" customWidth="1"/>
    <col min="14" max="14" width="12.5703125" hidden="1" customWidth="1"/>
    <col min="15" max="15" width="13.5703125" customWidth="1"/>
    <col min="16" max="17" width="12.5703125" style="1286" customWidth="1"/>
    <col min="18" max="24" width="12.5703125" style="77" customWidth="1"/>
    <col min="25" max="26" width="12.5703125" customWidth="1"/>
    <col min="27" max="27" width="14.42578125" customWidth="1"/>
  </cols>
  <sheetData>
    <row r="1" spans="2:27">
      <c r="B1" s="1297">
        <f>(985.9-C6)</f>
        <v>-31.257142857142867</v>
      </c>
      <c r="C1">
        <v>2021</v>
      </c>
    </row>
    <row r="2" spans="2:27">
      <c r="B2" s="1297">
        <f>(3277.3-C6)</f>
        <v>2260.1428571428573</v>
      </c>
      <c r="C2">
        <v>2022</v>
      </c>
    </row>
    <row r="3" spans="2:27">
      <c r="B3" s="1297"/>
      <c r="C3">
        <v>2023</v>
      </c>
    </row>
    <row r="4" spans="2:27">
      <c r="C4">
        <v>2024</v>
      </c>
    </row>
    <row r="5" spans="2:27">
      <c r="C5" s="1298">
        <f>(C7/P6)</f>
        <v>1017.157142857143</v>
      </c>
    </row>
    <row r="6" spans="2:27">
      <c r="C6" s="1297">
        <f>SUM(P7:W7)</f>
        <v>1017.1571428571428</v>
      </c>
      <c r="D6" s="1070"/>
      <c r="E6" s="1070"/>
      <c r="F6" s="1295"/>
      <c r="G6" s="1295"/>
      <c r="H6" s="1295"/>
      <c r="I6" s="1295"/>
      <c r="J6" s="1295"/>
      <c r="K6" s="1295"/>
      <c r="L6" s="1295"/>
      <c r="P6" s="1296">
        <v>1.4</v>
      </c>
      <c r="Q6" s="1070"/>
      <c r="R6" s="1295"/>
      <c r="S6" s="1295"/>
      <c r="T6" s="1295"/>
      <c r="U6" s="1295"/>
      <c r="V6" s="1295"/>
      <c r="W6" s="1295"/>
      <c r="X6" s="1295"/>
    </row>
    <row r="7" spans="2:27">
      <c r="C7" s="1297">
        <f>SUM(D7:K7)</f>
        <v>1424.02</v>
      </c>
      <c r="D7" s="1070">
        <f>SUBTOTAL(9,D9:D254)</f>
        <v>16.799999999999997</v>
      </c>
      <c r="E7" s="1070">
        <f t="shared" ref="E7:L7" si="0">SUBTOTAL(9,E9:E254)</f>
        <v>317.79999999999995</v>
      </c>
      <c r="F7" s="1070">
        <f t="shared" si="0"/>
        <v>102.82000000000001</v>
      </c>
      <c r="G7" s="1070">
        <f t="shared" si="0"/>
        <v>776.59999999999991</v>
      </c>
      <c r="H7" s="1070">
        <f t="shared" si="0"/>
        <v>0</v>
      </c>
      <c r="I7" s="1070">
        <f t="shared" si="0"/>
        <v>0</v>
      </c>
      <c r="J7" s="1070">
        <f t="shared" si="0"/>
        <v>0</v>
      </c>
      <c r="K7" s="1070">
        <f t="shared" si="0"/>
        <v>210</v>
      </c>
      <c r="L7" s="1070">
        <f t="shared" si="0"/>
        <v>1424.0200000000002</v>
      </c>
      <c r="O7" s="78">
        <f>SUBTOTAL(9,O9:O254)</f>
        <v>35860</v>
      </c>
      <c r="P7" s="1070">
        <f t="shared" ref="P7:AA7" si="1">SUBTOTAL(9,P9:P254)</f>
        <v>11.999999999999998</v>
      </c>
      <c r="Q7" s="1070">
        <f t="shared" si="1"/>
        <v>227</v>
      </c>
      <c r="R7" s="1070">
        <f t="shared" si="1"/>
        <v>73.44285714285715</v>
      </c>
      <c r="S7" s="1070">
        <f t="shared" si="1"/>
        <v>554.71428571428567</v>
      </c>
      <c r="T7" s="1070">
        <f t="shared" si="1"/>
        <v>0</v>
      </c>
      <c r="U7" s="1070">
        <f t="shared" si="1"/>
        <v>0</v>
      </c>
      <c r="V7" s="1070">
        <f t="shared" si="1"/>
        <v>0</v>
      </c>
      <c r="W7" s="1070">
        <f t="shared" si="1"/>
        <v>150</v>
      </c>
      <c r="X7" s="1070">
        <f t="shared" si="1"/>
        <v>1017.1571428571428</v>
      </c>
      <c r="Y7" s="1070">
        <f t="shared" si="1"/>
        <v>1617</v>
      </c>
      <c r="Z7" s="1070">
        <f t="shared" si="1"/>
        <v>0</v>
      </c>
      <c r="AA7" s="78">
        <f t="shared" si="1"/>
        <v>35860</v>
      </c>
    </row>
    <row r="8" spans="2:27" ht="48.75" customHeight="1">
      <c r="B8" s="1374" t="s">
        <v>0</v>
      </c>
      <c r="C8" s="1374" t="s">
        <v>57</v>
      </c>
      <c r="D8" s="1132" t="s">
        <v>912</v>
      </c>
      <c r="E8" s="1132" t="s">
        <v>913</v>
      </c>
      <c r="F8" s="1132" t="s">
        <v>914</v>
      </c>
      <c r="G8" s="1132" t="s">
        <v>915</v>
      </c>
      <c r="H8" s="1132" t="s">
        <v>916</v>
      </c>
      <c r="I8" s="1132" t="s">
        <v>945</v>
      </c>
      <c r="J8" s="1132" t="s">
        <v>917</v>
      </c>
      <c r="K8" s="1132" t="s">
        <v>918</v>
      </c>
      <c r="L8" s="1132" t="s">
        <v>926</v>
      </c>
      <c r="M8" s="1132" t="s">
        <v>931</v>
      </c>
      <c r="N8" s="1132" t="s">
        <v>932</v>
      </c>
      <c r="O8" s="1132" t="s">
        <v>930</v>
      </c>
      <c r="P8" s="1132" t="s">
        <v>919</v>
      </c>
      <c r="Q8" s="1132" t="s">
        <v>920</v>
      </c>
      <c r="R8" s="1132" t="s">
        <v>921</v>
      </c>
      <c r="S8" s="1132" t="s">
        <v>922</v>
      </c>
      <c r="T8" s="1132" t="s">
        <v>923</v>
      </c>
      <c r="U8" s="1132" t="s">
        <v>946</v>
      </c>
      <c r="V8" s="1132" t="s">
        <v>924</v>
      </c>
      <c r="W8" s="1132" t="s">
        <v>925</v>
      </c>
      <c r="X8" s="1132" t="s">
        <v>927</v>
      </c>
      <c r="Y8" s="1132" t="s">
        <v>928</v>
      </c>
      <c r="Z8" s="1132" t="s">
        <v>929</v>
      </c>
      <c r="AA8" s="1132" t="s">
        <v>933</v>
      </c>
    </row>
    <row r="9" spans="2:27">
      <c r="B9" s="1375">
        <v>1</v>
      </c>
      <c r="C9" s="1376">
        <v>44561</v>
      </c>
      <c r="D9" s="1069"/>
      <c r="E9" s="1069">
        <v>62.999999999999993</v>
      </c>
      <c r="F9" s="1377"/>
      <c r="G9" s="1377"/>
      <c r="H9" s="1377"/>
      <c r="I9" s="1377"/>
      <c r="J9" s="1377"/>
      <c r="K9" s="1377"/>
      <c r="L9" s="1378">
        <f t="shared" ref="L9:L72" si="2">SUM(D9:K9)</f>
        <v>62.999999999999993</v>
      </c>
      <c r="M9" s="1379"/>
      <c r="N9" s="1380"/>
      <c r="O9" s="1380">
        <f>(L9*M9)</f>
        <v>0</v>
      </c>
      <c r="P9" s="1069">
        <f t="shared" ref="P9:P72" si="3">(D9/$P$6)</f>
        <v>0</v>
      </c>
      <c r="Q9" s="1069">
        <f t="shared" ref="Q9:Q72" si="4">(E9/$P$6)</f>
        <v>45</v>
      </c>
      <c r="R9" s="1069">
        <f t="shared" ref="R9:R72" si="5">(F9/$P$6)</f>
        <v>0</v>
      </c>
      <c r="S9" s="1069">
        <f t="shared" ref="S9:S72" si="6">(G9/$P$6)</f>
        <v>0</v>
      </c>
      <c r="T9" s="1069">
        <f t="shared" ref="T9:U72" si="7">(H9/$P$6)</f>
        <v>0</v>
      </c>
      <c r="U9" s="1069">
        <f t="shared" si="7"/>
        <v>0</v>
      </c>
      <c r="V9" s="1069">
        <f t="shared" ref="V9:V72" si="8">(J9/$P$6)</f>
        <v>0</v>
      </c>
      <c r="W9" s="1069">
        <f t="shared" ref="W9:W72" si="9">(K9/$P$6)</f>
        <v>0</v>
      </c>
      <c r="X9" s="1378">
        <f t="shared" ref="X9:X72" si="10">SUM(P9:W9)</f>
        <v>45</v>
      </c>
      <c r="Y9" s="1380">
        <f>(M9*$P$6)</f>
        <v>0</v>
      </c>
      <c r="Z9" s="1380"/>
      <c r="AA9" s="1380">
        <f>(X9*Y9)</f>
        <v>0</v>
      </c>
    </row>
    <row r="10" spans="2:27">
      <c r="B10" s="1375">
        <v>2</v>
      </c>
      <c r="C10" s="1376">
        <v>44561</v>
      </c>
      <c r="D10" s="1069">
        <v>16.799999999999997</v>
      </c>
      <c r="E10" s="1069"/>
      <c r="F10" s="1377"/>
      <c r="G10" s="1377"/>
      <c r="H10" s="1377"/>
      <c r="I10" s="1377"/>
      <c r="J10" s="1377"/>
      <c r="K10" s="1377"/>
      <c r="L10" s="1378">
        <f t="shared" si="2"/>
        <v>16.799999999999997</v>
      </c>
      <c r="M10" s="1379"/>
      <c r="N10" s="1380"/>
      <c r="O10" s="1380">
        <f t="shared" ref="O10:O73" si="11">(L10*M10)</f>
        <v>0</v>
      </c>
      <c r="P10" s="1069">
        <f t="shared" si="3"/>
        <v>11.999999999999998</v>
      </c>
      <c r="Q10" s="1069">
        <f t="shared" si="4"/>
        <v>0</v>
      </c>
      <c r="R10" s="1069">
        <f t="shared" si="5"/>
        <v>0</v>
      </c>
      <c r="S10" s="1069">
        <f t="shared" si="6"/>
        <v>0</v>
      </c>
      <c r="T10" s="1069">
        <f t="shared" si="7"/>
        <v>0</v>
      </c>
      <c r="U10" s="1069">
        <f t="shared" si="7"/>
        <v>0</v>
      </c>
      <c r="V10" s="1069">
        <f t="shared" si="8"/>
        <v>0</v>
      </c>
      <c r="W10" s="1069">
        <f t="shared" si="9"/>
        <v>0</v>
      </c>
      <c r="X10" s="1378">
        <f t="shared" si="10"/>
        <v>11.999999999999998</v>
      </c>
      <c r="Y10" s="1380">
        <f>(M10*$P$6)</f>
        <v>0</v>
      </c>
      <c r="Z10" s="1380"/>
      <c r="AA10" s="1380">
        <f t="shared" ref="AA10:AA73" si="12">(X10*Y10)</f>
        <v>0</v>
      </c>
    </row>
    <row r="11" spans="2:27">
      <c r="B11" s="1375">
        <v>3</v>
      </c>
      <c r="C11" s="1376">
        <v>44561</v>
      </c>
      <c r="D11" s="1069"/>
      <c r="E11" s="1069">
        <v>254.79999999999998</v>
      </c>
      <c r="F11" s="1377"/>
      <c r="G11" s="1377"/>
      <c r="H11" s="1377"/>
      <c r="I11" s="1377"/>
      <c r="J11" s="1377"/>
      <c r="K11" s="1377"/>
      <c r="L11" s="1378">
        <f t="shared" si="2"/>
        <v>254.79999999999998</v>
      </c>
      <c r="M11" s="1379"/>
      <c r="N11" s="1380"/>
      <c r="O11" s="1380">
        <f t="shared" si="11"/>
        <v>0</v>
      </c>
      <c r="P11" s="1069">
        <f t="shared" si="3"/>
        <v>0</v>
      </c>
      <c r="Q11" s="1381">
        <f t="shared" si="4"/>
        <v>182</v>
      </c>
      <c r="R11" s="1069">
        <f t="shared" si="5"/>
        <v>0</v>
      </c>
      <c r="S11" s="1069">
        <f t="shared" si="6"/>
        <v>0</v>
      </c>
      <c r="T11" s="1069">
        <f t="shared" si="7"/>
        <v>0</v>
      </c>
      <c r="U11" s="1069">
        <f t="shared" si="7"/>
        <v>0</v>
      </c>
      <c r="V11" s="1069">
        <f t="shared" si="8"/>
        <v>0</v>
      </c>
      <c r="W11" s="1069">
        <f t="shared" si="9"/>
        <v>0</v>
      </c>
      <c r="X11" s="1378">
        <f t="shared" si="10"/>
        <v>182</v>
      </c>
      <c r="Y11" s="1380">
        <f>(M11*$P$6)</f>
        <v>0</v>
      </c>
      <c r="Z11" s="1380"/>
      <c r="AA11" s="1380">
        <f t="shared" si="12"/>
        <v>0</v>
      </c>
    </row>
    <row r="12" spans="2:27">
      <c r="B12" s="1375">
        <v>4</v>
      </c>
      <c r="C12" s="1376">
        <v>44561</v>
      </c>
      <c r="D12" s="1069"/>
      <c r="E12" s="1069"/>
      <c r="F12" s="1377"/>
      <c r="G12" s="1382">
        <v>23.7</v>
      </c>
      <c r="H12" s="1377"/>
      <c r="I12" s="1377"/>
      <c r="J12" s="1377"/>
      <c r="K12" s="1377"/>
      <c r="L12" s="1383">
        <f t="shared" si="2"/>
        <v>23.7</v>
      </c>
      <c r="M12" s="1379"/>
      <c r="N12" s="1380"/>
      <c r="O12" s="1380">
        <f t="shared" si="11"/>
        <v>0</v>
      </c>
      <c r="P12" s="1069">
        <f t="shared" si="3"/>
        <v>0</v>
      </c>
      <c r="Q12" s="1069">
        <f t="shared" si="4"/>
        <v>0</v>
      </c>
      <c r="R12" s="1069">
        <f t="shared" si="5"/>
        <v>0</v>
      </c>
      <c r="S12" s="1384">
        <f t="shared" si="6"/>
        <v>16.928571428571431</v>
      </c>
      <c r="T12" s="1069">
        <f t="shared" si="7"/>
        <v>0</v>
      </c>
      <c r="U12" s="1069">
        <f t="shared" si="7"/>
        <v>0</v>
      </c>
      <c r="V12" s="1069">
        <f t="shared" si="8"/>
        <v>0</v>
      </c>
      <c r="W12" s="1069">
        <f t="shared" si="9"/>
        <v>0</v>
      </c>
      <c r="X12" s="1383">
        <f t="shared" si="10"/>
        <v>16.928571428571431</v>
      </c>
      <c r="Y12" s="1380">
        <f>(M12*$P$6)</f>
        <v>0</v>
      </c>
      <c r="Z12" s="1380"/>
      <c r="AA12" s="1380">
        <f t="shared" si="12"/>
        <v>0</v>
      </c>
    </row>
    <row r="13" spans="2:27">
      <c r="B13" s="1375">
        <v>5</v>
      </c>
      <c r="C13" s="1376">
        <v>44561</v>
      </c>
      <c r="D13" s="1069"/>
      <c r="E13" s="1069"/>
      <c r="F13" s="1377"/>
      <c r="G13" s="1382">
        <v>26.98</v>
      </c>
      <c r="H13" s="1377"/>
      <c r="I13" s="1377"/>
      <c r="J13" s="1377"/>
      <c r="K13" s="1377"/>
      <c r="L13" s="1383">
        <f t="shared" si="2"/>
        <v>26.98</v>
      </c>
      <c r="M13" s="1379"/>
      <c r="N13" s="1380"/>
      <c r="O13" s="1380">
        <f t="shared" si="11"/>
        <v>0</v>
      </c>
      <c r="P13" s="1069">
        <f t="shared" si="3"/>
        <v>0</v>
      </c>
      <c r="Q13" s="1069">
        <f t="shared" si="4"/>
        <v>0</v>
      </c>
      <c r="R13" s="1069">
        <f t="shared" si="5"/>
        <v>0</v>
      </c>
      <c r="S13" s="1384">
        <f t="shared" si="6"/>
        <v>19.271428571428572</v>
      </c>
      <c r="T13" s="1069">
        <f t="shared" si="7"/>
        <v>0</v>
      </c>
      <c r="U13" s="1069">
        <f t="shared" si="7"/>
        <v>0</v>
      </c>
      <c r="V13" s="1069">
        <f t="shared" si="8"/>
        <v>0</v>
      </c>
      <c r="W13" s="1069">
        <f t="shared" si="9"/>
        <v>0</v>
      </c>
      <c r="X13" s="1383">
        <f t="shared" si="10"/>
        <v>19.271428571428572</v>
      </c>
      <c r="Y13" s="1380">
        <f t="shared" ref="Y13:Y72" si="13">(M13*$P$6)</f>
        <v>0</v>
      </c>
      <c r="Z13" s="1380"/>
      <c r="AA13" s="1380">
        <f t="shared" si="12"/>
        <v>0</v>
      </c>
    </row>
    <row r="14" spans="2:27">
      <c r="B14" s="1375">
        <v>6</v>
      </c>
      <c r="C14" s="1376">
        <v>44561</v>
      </c>
      <c r="D14" s="1069"/>
      <c r="E14" s="1069"/>
      <c r="F14" s="1377"/>
      <c r="G14" s="1382">
        <v>26.26</v>
      </c>
      <c r="H14" s="1377"/>
      <c r="I14" s="1377"/>
      <c r="J14" s="1377"/>
      <c r="K14" s="1377"/>
      <c r="L14" s="1383">
        <f t="shared" si="2"/>
        <v>26.26</v>
      </c>
      <c r="M14" s="1379"/>
      <c r="N14" s="1380"/>
      <c r="O14" s="1380">
        <f t="shared" si="11"/>
        <v>0</v>
      </c>
      <c r="P14" s="1069">
        <f t="shared" si="3"/>
        <v>0</v>
      </c>
      <c r="Q14" s="1069">
        <f t="shared" si="4"/>
        <v>0</v>
      </c>
      <c r="R14" s="1069">
        <f t="shared" si="5"/>
        <v>0</v>
      </c>
      <c r="S14" s="1384">
        <f t="shared" si="6"/>
        <v>18.75714285714286</v>
      </c>
      <c r="T14" s="1069">
        <f t="shared" si="7"/>
        <v>0</v>
      </c>
      <c r="U14" s="1069">
        <f t="shared" si="7"/>
        <v>0</v>
      </c>
      <c r="V14" s="1069">
        <f t="shared" si="8"/>
        <v>0</v>
      </c>
      <c r="W14" s="1069">
        <f t="shared" si="9"/>
        <v>0</v>
      </c>
      <c r="X14" s="1383">
        <f t="shared" si="10"/>
        <v>18.75714285714286</v>
      </c>
      <c r="Y14" s="1380">
        <f t="shared" si="13"/>
        <v>0</v>
      </c>
      <c r="Z14" s="1380"/>
      <c r="AA14" s="1380">
        <f t="shared" si="12"/>
        <v>0</v>
      </c>
    </row>
    <row r="15" spans="2:27">
      <c r="B15" s="1375">
        <v>7</v>
      </c>
      <c r="C15" s="1376">
        <v>44561</v>
      </c>
      <c r="D15" s="1069"/>
      <c r="E15" s="1069"/>
      <c r="F15" s="1377"/>
      <c r="G15" s="1382">
        <v>25.86</v>
      </c>
      <c r="H15" s="1377"/>
      <c r="I15" s="1377"/>
      <c r="J15" s="1377"/>
      <c r="K15" s="1377"/>
      <c r="L15" s="1383">
        <f t="shared" si="2"/>
        <v>25.86</v>
      </c>
      <c r="M15" s="1379"/>
      <c r="N15" s="1380"/>
      <c r="O15" s="1380">
        <f t="shared" si="11"/>
        <v>0</v>
      </c>
      <c r="P15" s="1069">
        <f t="shared" si="3"/>
        <v>0</v>
      </c>
      <c r="Q15" s="1069">
        <f t="shared" si="4"/>
        <v>0</v>
      </c>
      <c r="R15" s="1069">
        <f t="shared" si="5"/>
        <v>0</v>
      </c>
      <c r="S15" s="1384">
        <f t="shared" si="6"/>
        <v>18.471428571428572</v>
      </c>
      <c r="T15" s="1069">
        <f t="shared" si="7"/>
        <v>0</v>
      </c>
      <c r="U15" s="1069">
        <f t="shared" si="7"/>
        <v>0</v>
      </c>
      <c r="V15" s="1069">
        <f t="shared" si="8"/>
        <v>0</v>
      </c>
      <c r="W15" s="1069">
        <f t="shared" si="9"/>
        <v>0</v>
      </c>
      <c r="X15" s="1383">
        <f t="shared" si="10"/>
        <v>18.471428571428572</v>
      </c>
      <c r="Y15" s="1380">
        <f t="shared" si="13"/>
        <v>0</v>
      </c>
      <c r="Z15" s="1380"/>
      <c r="AA15" s="1380">
        <f t="shared" si="12"/>
        <v>0</v>
      </c>
    </row>
    <row r="16" spans="2:27">
      <c r="B16" s="1375">
        <v>8</v>
      </c>
      <c r="C16" s="1376">
        <v>44561</v>
      </c>
      <c r="D16" s="1069"/>
      <c r="E16" s="1069"/>
      <c r="F16" s="1377"/>
      <c r="G16" s="1382">
        <v>24.38</v>
      </c>
      <c r="H16" s="1377"/>
      <c r="I16" s="1377"/>
      <c r="J16" s="1377"/>
      <c r="K16" s="1377"/>
      <c r="L16" s="1383">
        <f t="shared" si="2"/>
        <v>24.38</v>
      </c>
      <c r="M16" s="1379"/>
      <c r="N16" s="1380"/>
      <c r="O16" s="1380">
        <f t="shared" si="11"/>
        <v>0</v>
      </c>
      <c r="P16" s="1069">
        <f t="shared" si="3"/>
        <v>0</v>
      </c>
      <c r="Q16" s="1069">
        <f t="shared" si="4"/>
        <v>0</v>
      </c>
      <c r="R16" s="1069">
        <f t="shared" si="5"/>
        <v>0</v>
      </c>
      <c r="S16" s="1384">
        <f t="shared" si="6"/>
        <v>17.414285714285715</v>
      </c>
      <c r="T16" s="1069">
        <f t="shared" si="7"/>
        <v>0</v>
      </c>
      <c r="U16" s="1069">
        <f t="shared" si="7"/>
        <v>0</v>
      </c>
      <c r="V16" s="1069">
        <f t="shared" si="8"/>
        <v>0</v>
      </c>
      <c r="W16" s="1069">
        <f t="shared" si="9"/>
        <v>0</v>
      </c>
      <c r="X16" s="1383">
        <f t="shared" si="10"/>
        <v>17.414285714285715</v>
      </c>
      <c r="Y16" s="1380">
        <f t="shared" si="13"/>
        <v>0</v>
      </c>
      <c r="Z16" s="1380"/>
      <c r="AA16" s="1380">
        <f t="shared" si="12"/>
        <v>0</v>
      </c>
    </row>
    <row r="17" spans="2:27">
      <c r="B17" s="1375">
        <v>9</v>
      </c>
      <c r="C17" s="1376">
        <v>44561</v>
      </c>
      <c r="D17" s="1069"/>
      <c r="E17" s="1069"/>
      <c r="F17" s="1377"/>
      <c r="G17" s="1382">
        <v>25.72</v>
      </c>
      <c r="H17" s="1377"/>
      <c r="I17" s="1377"/>
      <c r="J17" s="1377"/>
      <c r="K17" s="1377"/>
      <c r="L17" s="1383">
        <f t="shared" si="2"/>
        <v>25.72</v>
      </c>
      <c r="M17" s="1379"/>
      <c r="N17" s="1380"/>
      <c r="O17" s="1380">
        <f t="shared" si="11"/>
        <v>0</v>
      </c>
      <c r="P17" s="1069">
        <f t="shared" si="3"/>
        <v>0</v>
      </c>
      <c r="Q17" s="1069">
        <f t="shared" si="4"/>
        <v>0</v>
      </c>
      <c r="R17" s="1069">
        <f t="shared" si="5"/>
        <v>0</v>
      </c>
      <c r="S17" s="1384">
        <f t="shared" si="6"/>
        <v>18.37142857142857</v>
      </c>
      <c r="T17" s="1069">
        <f t="shared" si="7"/>
        <v>0</v>
      </c>
      <c r="U17" s="1069">
        <f t="shared" si="7"/>
        <v>0</v>
      </c>
      <c r="V17" s="1069">
        <f t="shared" si="8"/>
        <v>0</v>
      </c>
      <c r="W17" s="1069">
        <f t="shared" si="9"/>
        <v>0</v>
      </c>
      <c r="X17" s="1383">
        <f t="shared" si="10"/>
        <v>18.37142857142857</v>
      </c>
      <c r="Y17" s="1380">
        <f t="shared" si="13"/>
        <v>0</v>
      </c>
      <c r="Z17" s="1380"/>
      <c r="AA17" s="1380">
        <f t="shared" si="12"/>
        <v>0</v>
      </c>
    </row>
    <row r="18" spans="2:27">
      <c r="B18" s="1375">
        <v>10</v>
      </c>
      <c r="C18" s="1376">
        <v>44561</v>
      </c>
      <c r="D18" s="1069"/>
      <c r="E18" s="1069"/>
      <c r="F18" s="1377"/>
      <c r="G18" s="1382">
        <v>26.86</v>
      </c>
      <c r="H18" s="1377"/>
      <c r="I18" s="1377"/>
      <c r="J18" s="1377"/>
      <c r="K18" s="1377"/>
      <c r="L18" s="1383">
        <f t="shared" si="2"/>
        <v>26.86</v>
      </c>
      <c r="M18" s="1379"/>
      <c r="N18" s="1380"/>
      <c r="O18" s="1380">
        <f t="shared" si="11"/>
        <v>0</v>
      </c>
      <c r="P18" s="1069">
        <f t="shared" si="3"/>
        <v>0</v>
      </c>
      <c r="Q18" s="1069">
        <f t="shared" si="4"/>
        <v>0</v>
      </c>
      <c r="R18" s="1069">
        <f t="shared" si="5"/>
        <v>0</v>
      </c>
      <c r="S18" s="1384">
        <f t="shared" si="6"/>
        <v>19.185714285714287</v>
      </c>
      <c r="T18" s="1069">
        <f t="shared" si="7"/>
        <v>0</v>
      </c>
      <c r="U18" s="1069">
        <f t="shared" si="7"/>
        <v>0</v>
      </c>
      <c r="V18" s="1069">
        <f t="shared" si="8"/>
        <v>0</v>
      </c>
      <c r="W18" s="1069">
        <f t="shared" si="9"/>
        <v>0</v>
      </c>
      <c r="X18" s="1383">
        <f t="shared" si="10"/>
        <v>19.185714285714287</v>
      </c>
      <c r="Y18" s="1380">
        <f t="shared" si="13"/>
        <v>0</v>
      </c>
      <c r="Z18" s="1380"/>
      <c r="AA18" s="1380">
        <f t="shared" si="12"/>
        <v>0</v>
      </c>
    </row>
    <row r="19" spans="2:27">
      <c r="B19" s="1375">
        <v>11</v>
      </c>
      <c r="C19" s="1376">
        <v>44561</v>
      </c>
      <c r="D19" s="1069"/>
      <c r="E19" s="1069"/>
      <c r="F19" s="1377"/>
      <c r="G19" s="1382">
        <v>25.78</v>
      </c>
      <c r="H19" s="1377"/>
      <c r="I19" s="1377"/>
      <c r="J19" s="1377"/>
      <c r="K19" s="1377"/>
      <c r="L19" s="1383">
        <f t="shared" si="2"/>
        <v>25.78</v>
      </c>
      <c r="M19" s="1379"/>
      <c r="N19" s="1380"/>
      <c r="O19" s="1380">
        <f t="shared" si="11"/>
        <v>0</v>
      </c>
      <c r="P19" s="1069">
        <f t="shared" si="3"/>
        <v>0</v>
      </c>
      <c r="Q19" s="1069">
        <f t="shared" si="4"/>
        <v>0</v>
      </c>
      <c r="R19" s="1069">
        <f t="shared" si="5"/>
        <v>0</v>
      </c>
      <c r="S19" s="1384">
        <f t="shared" si="6"/>
        <v>18.414285714285715</v>
      </c>
      <c r="T19" s="1069">
        <f t="shared" si="7"/>
        <v>0</v>
      </c>
      <c r="U19" s="1069">
        <f t="shared" si="7"/>
        <v>0</v>
      </c>
      <c r="V19" s="1069">
        <f t="shared" si="8"/>
        <v>0</v>
      </c>
      <c r="W19" s="1069">
        <f t="shared" si="9"/>
        <v>0</v>
      </c>
      <c r="X19" s="1383">
        <f t="shared" si="10"/>
        <v>18.414285714285715</v>
      </c>
      <c r="Y19" s="1380">
        <f t="shared" si="13"/>
        <v>0</v>
      </c>
      <c r="Z19" s="1380"/>
      <c r="AA19" s="1380">
        <f t="shared" si="12"/>
        <v>0</v>
      </c>
    </row>
    <row r="20" spans="2:27">
      <c r="B20" s="1375">
        <v>12</v>
      </c>
      <c r="C20" s="1376">
        <v>44561</v>
      </c>
      <c r="D20" s="1069"/>
      <c r="E20" s="1069"/>
      <c r="F20" s="1377"/>
      <c r="G20" s="1382">
        <v>26.64</v>
      </c>
      <c r="H20" s="1377"/>
      <c r="I20" s="1377"/>
      <c r="J20" s="1377"/>
      <c r="K20" s="1377"/>
      <c r="L20" s="1383">
        <f t="shared" si="2"/>
        <v>26.64</v>
      </c>
      <c r="M20" s="1379"/>
      <c r="N20" s="1380"/>
      <c r="O20" s="1380">
        <f t="shared" si="11"/>
        <v>0</v>
      </c>
      <c r="P20" s="1069">
        <f t="shared" si="3"/>
        <v>0</v>
      </c>
      <c r="Q20" s="1069">
        <f t="shared" si="4"/>
        <v>0</v>
      </c>
      <c r="R20" s="1069">
        <f t="shared" si="5"/>
        <v>0</v>
      </c>
      <c r="S20" s="1384">
        <f t="shared" si="6"/>
        <v>19.028571428571428</v>
      </c>
      <c r="T20" s="1069">
        <f t="shared" si="7"/>
        <v>0</v>
      </c>
      <c r="U20" s="1069">
        <f t="shared" si="7"/>
        <v>0</v>
      </c>
      <c r="V20" s="1069">
        <f t="shared" si="8"/>
        <v>0</v>
      </c>
      <c r="W20" s="1069">
        <f t="shared" si="9"/>
        <v>0</v>
      </c>
      <c r="X20" s="1383">
        <f t="shared" si="10"/>
        <v>19.028571428571428</v>
      </c>
      <c r="Y20" s="1380">
        <f t="shared" si="13"/>
        <v>0</v>
      </c>
      <c r="Z20" s="1380"/>
      <c r="AA20" s="1380">
        <f t="shared" si="12"/>
        <v>0</v>
      </c>
    </row>
    <row r="21" spans="2:27">
      <c r="B21" s="1375">
        <v>13</v>
      </c>
      <c r="C21" s="1376">
        <v>44561</v>
      </c>
      <c r="D21" s="1069"/>
      <c r="E21" s="1069"/>
      <c r="F21" s="1377"/>
      <c r="G21" s="1382">
        <v>21.72</v>
      </c>
      <c r="H21" s="1377"/>
      <c r="I21" s="1377"/>
      <c r="J21" s="1377"/>
      <c r="K21" s="1377"/>
      <c r="L21" s="1383">
        <f t="shared" si="2"/>
        <v>21.72</v>
      </c>
      <c r="M21" s="1379"/>
      <c r="N21" s="1380"/>
      <c r="O21" s="1380">
        <f t="shared" si="11"/>
        <v>0</v>
      </c>
      <c r="P21" s="1069">
        <f t="shared" si="3"/>
        <v>0</v>
      </c>
      <c r="Q21" s="1069">
        <f t="shared" si="4"/>
        <v>0</v>
      </c>
      <c r="R21" s="1069">
        <f t="shared" si="5"/>
        <v>0</v>
      </c>
      <c r="S21" s="1384">
        <f t="shared" si="6"/>
        <v>15.514285714285714</v>
      </c>
      <c r="T21" s="1069">
        <f t="shared" si="7"/>
        <v>0</v>
      </c>
      <c r="U21" s="1069">
        <f t="shared" si="7"/>
        <v>0</v>
      </c>
      <c r="V21" s="1069">
        <f t="shared" si="8"/>
        <v>0</v>
      </c>
      <c r="W21" s="1069">
        <f t="shared" si="9"/>
        <v>0</v>
      </c>
      <c r="X21" s="1383">
        <f t="shared" si="10"/>
        <v>15.514285714285714</v>
      </c>
      <c r="Y21" s="1380">
        <f t="shared" si="13"/>
        <v>0</v>
      </c>
      <c r="Z21" s="1380"/>
      <c r="AA21" s="1380">
        <f t="shared" si="12"/>
        <v>0</v>
      </c>
    </row>
    <row r="22" spans="2:27">
      <c r="B22" s="1375">
        <v>14</v>
      </c>
      <c r="C22" s="1376">
        <v>44561</v>
      </c>
      <c r="D22" s="1069"/>
      <c r="E22" s="1069"/>
      <c r="F22" s="1377"/>
      <c r="G22" s="1382">
        <v>26.12</v>
      </c>
      <c r="H22" s="1377"/>
      <c r="I22" s="1377"/>
      <c r="J22" s="1377"/>
      <c r="K22" s="1377"/>
      <c r="L22" s="1383">
        <f t="shared" si="2"/>
        <v>26.12</v>
      </c>
      <c r="M22" s="1379"/>
      <c r="N22" s="1380"/>
      <c r="O22" s="1380">
        <f t="shared" si="11"/>
        <v>0</v>
      </c>
      <c r="P22" s="1069">
        <f t="shared" si="3"/>
        <v>0</v>
      </c>
      <c r="Q22" s="1069">
        <f t="shared" si="4"/>
        <v>0</v>
      </c>
      <c r="R22" s="1069">
        <f t="shared" si="5"/>
        <v>0</v>
      </c>
      <c r="S22" s="1384">
        <f t="shared" si="6"/>
        <v>18.657142857142858</v>
      </c>
      <c r="T22" s="1069">
        <f t="shared" si="7"/>
        <v>0</v>
      </c>
      <c r="U22" s="1069">
        <f t="shared" si="7"/>
        <v>0</v>
      </c>
      <c r="V22" s="1069">
        <f t="shared" si="8"/>
        <v>0</v>
      </c>
      <c r="W22" s="1069">
        <f t="shared" si="9"/>
        <v>0</v>
      </c>
      <c r="X22" s="1383">
        <f t="shared" si="10"/>
        <v>18.657142857142858</v>
      </c>
      <c r="Y22" s="1380">
        <f t="shared" si="13"/>
        <v>0</v>
      </c>
      <c r="Z22" s="1380"/>
      <c r="AA22" s="1380">
        <f t="shared" si="12"/>
        <v>0</v>
      </c>
    </row>
    <row r="23" spans="2:27">
      <c r="B23" s="1375">
        <v>15</v>
      </c>
      <c r="C23" s="1376">
        <v>44561</v>
      </c>
      <c r="D23" s="1069"/>
      <c r="E23" s="1069"/>
      <c r="F23" s="1377"/>
      <c r="G23" s="1382">
        <v>27.12</v>
      </c>
      <c r="H23" s="1377"/>
      <c r="I23" s="1377"/>
      <c r="J23" s="1377"/>
      <c r="K23" s="1377"/>
      <c r="L23" s="1383">
        <f t="shared" si="2"/>
        <v>27.12</v>
      </c>
      <c r="M23" s="1379"/>
      <c r="N23" s="1380"/>
      <c r="O23" s="1380">
        <f t="shared" si="11"/>
        <v>0</v>
      </c>
      <c r="P23" s="1069">
        <f t="shared" si="3"/>
        <v>0</v>
      </c>
      <c r="Q23" s="1069">
        <f t="shared" si="4"/>
        <v>0</v>
      </c>
      <c r="R23" s="1069">
        <f t="shared" si="5"/>
        <v>0</v>
      </c>
      <c r="S23" s="1384">
        <f t="shared" si="6"/>
        <v>19.371428571428574</v>
      </c>
      <c r="T23" s="1069">
        <f t="shared" si="7"/>
        <v>0</v>
      </c>
      <c r="U23" s="1069">
        <f t="shared" si="7"/>
        <v>0</v>
      </c>
      <c r="V23" s="1069">
        <f t="shared" si="8"/>
        <v>0</v>
      </c>
      <c r="W23" s="1069">
        <f t="shared" si="9"/>
        <v>0</v>
      </c>
      <c r="X23" s="1383">
        <f t="shared" si="10"/>
        <v>19.371428571428574</v>
      </c>
      <c r="Y23" s="1380">
        <f t="shared" si="13"/>
        <v>0</v>
      </c>
      <c r="Z23" s="1380"/>
      <c r="AA23" s="1380">
        <f t="shared" si="12"/>
        <v>0</v>
      </c>
    </row>
    <row r="24" spans="2:27">
      <c r="B24" s="1375">
        <v>16</v>
      </c>
      <c r="C24" s="1376">
        <v>44561</v>
      </c>
      <c r="D24" s="1069"/>
      <c r="E24" s="1069"/>
      <c r="F24" s="1377"/>
      <c r="G24" s="1382">
        <v>25.76</v>
      </c>
      <c r="H24" s="1377"/>
      <c r="I24" s="1377"/>
      <c r="J24" s="1377"/>
      <c r="K24" s="1377"/>
      <c r="L24" s="1383">
        <f t="shared" si="2"/>
        <v>25.76</v>
      </c>
      <c r="M24" s="1379"/>
      <c r="N24" s="1380"/>
      <c r="O24" s="1380">
        <f t="shared" si="11"/>
        <v>0</v>
      </c>
      <c r="P24" s="1069">
        <f t="shared" si="3"/>
        <v>0</v>
      </c>
      <c r="Q24" s="1069">
        <f t="shared" si="4"/>
        <v>0</v>
      </c>
      <c r="R24" s="1069">
        <f t="shared" si="5"/>
        <v>0</v>
      </c>
      <c r="S24" s="1384">
        <f t="shared" si="6"/>
        <v>18.400000000000002</v>
      </c>
      <c r="T24" s="1069">
        <f t="shared" si="7"/>
        <v>0</v>
      </c>
      <c r="U24" s="1069">
        <f t="shared" si="7"/>
        <v>0</v>
      </c>
      <c r="V24" s="1069">
        <f t="shared" si="8"/>
        <v>0</v>
      </c>
      <c r="W24" s="1069">
        <f t="shared" si="9"/>
        <v>0</v>
      </c>
      <c r="X24" s="1383">
        <f t="shared" si="10"/>
        <v>18.400000000000002</v>
      </c>
      <c r="Y24" s="1380">
        <f t="shared" si="13"/>
        <v>0</v>
      </c>
      <c r="Z24" s="1380"/>
      <c r="AA24" s="1380">
        <f t="shared" si="12"/>
        <v>0</v>
      </c>
    </row>
    <row r="25" spans="2:27">
      <c r="B25" s="1375">
        <v>17</v>
      </c>
      <c r="C25" s="1376">
        <v>44561</v>
      </c>
      <c r="D25" s="1069"/>
      <c r="E25" s="1069"/>
      <c r="F25" s="1377"/>
      <c r="G25" s="1382">
        <v>26.16</v>
      </c>
      <c r="H25" s="1377"/>
      <c r="I25" s="1377"/>
      <c r="J25" s="1377"/>
      <c r="K25" s="1377"/>
      <c r="L25" s="1383">
        <f t="shared" si="2"/>
        <v>26.16</v>
      </c>
      <c r="M25" s="1379"/>
      <c r="N25" s="1380"/>
      <c r="O25" s="1380">
        <f t="shared" si="11"/>
        <v>0</v>
      </c>
      <c r="P25" s="1069">
        <f t="shared" si="3"/>
        <v>0</v>
      </c>
      <c r="Q25" s="1069">
        <f t="shared" si="4"/>
        <v>0</v>
      </c>
      <c r="R25" s="1069">
        <f t="shared" si="5"/>
        <v>0</v>
      </c>
      <c r="S25" s="1384">
        <f t="shared" si="6"/>
        <v>18.685714285714287</v>
      </c>
      <c r="T25" s="1069">
        <f t="shared" si="7"/>
        <v>0</v>
      </c>
      <c r="U25" s="1069">
        <f t="shared" si="7"/>
        <v>0</v>
      </c>
      <c r="V25" s="1069">
        <f t="shared" si="8"/>
        <v>0</v>
      </c>
      <c r="W25" s="1069">
        <f t="shared" si="9"/>
        <v>0</v>
      </c>
      <c r="X25" s="1383">
        <f t="shared" si="10"/>
        <v>18.685714285714287</v>
      </c>
      <c r="Y25" s="1380">
        <f t="shared" si="13"/>
        <v>0</v>
      </c>
      <c r="Z25" s="1380"/>
      <c r="AA25" s="1380">
        <f t="shared" si="12"/>
        <v>0</v>
      </c>
    </row>
    <row r="26" spans="2:27">
      <c r="B26" s="1375">
        <v>18</v>
      </c>
      <c r="C26" s="1376">
        <v>44561</v>
      </c>
      <c r="D26" s="1069"/>
      <c r="E26" s="1069"/>
      <c r="F26" s="1377"/>
      <c r="G26" s="1385">
        <v>26.9</v>
      </c>
      <c r="H26" s="1377"/>
      <c r="I26" s="1377"/>
      <c r="J26" s="1377"/>
      <c r="K26" s="1377"/>
      <c r="L26" s="1383">
        <f t="shared" si="2"/>
        <v>26.9</v>
      </c>
      <c r="M26" s="1379"/>
      <c r="N26" s="1380"/>
      <c r="O26" s="1380">
        <f t="shared" si="11"/>
        <v>0</v>
      </c>
      <c r="P26" s="1069">
        <f t="shared" si="3"/>
        <v>0</v>
      </c>
      <c r="Q26" s="1069">
        <f t="shared" si="4"/>
        <v>0</v>
      </c>
      <c r="R26" s="1069">
        <f t="shared" si="5"/>
        <v>0</v>
      </c>
      <c r="S26" s="1386">
        <f t="shared" si="6"/>
        <v>19.214285714285715</v>
      </c>
      <c r="T26" s="1069">
        <f t="shared" si="7"/>
        <v>0</v>
      </c>
      <c r="U26" s="1069">
        <f t="shared" si="7"/>
        <v>0</v>
      </c>
      <c r="V26" s="1069">
        <f t="shared" si="8"/>
        <v>0</v>
      </c>
      <c r="W26" s="1069">
        <f t="shared" si="9"/>
        <v>0</v>
      </c>
      <c r="X26" s="1383">
        <f t="shared" si="10"/>
        <v>19.214285714285715</v>
      </c>
      <c r="Y26" s="1380">
        <f t="shared" si="13"/>
        <v>0</v>
      </c>
      <c r="Z26" s="1380"/>
      <c r="AA26" s="1380">
        <f t="shared" si="12"/>
        <v>0</v>
      </c>
    </row>
    <row r="27" spans="2:27">
      <c r="B27" s="1375">
        <v>19</v>
      </c>
      <c r="C27" s="1376">
        <v>44561</v>
      </c>
      <c r="D27" s="1069"/>
      <c r="E27" s="1069"/>
      <c r="F27" s="1385">
        <v>25.28</v>
      </c>
      <c r="G27" s="1377"/>
      <c r="H27" s="1377"/>
      <c r="I27" s="1377"/>
      <c r="J27" s="1377"/>
      <c r="K27" s="1377"/>
      <c r="L27" s="1383">
        <f t="shared" si="2"/>
        <v>25.28</v>
      </c>
      <c r="M27" s="1379"/>
      <c r="N27" s="1380"/>
      <c r="O27" s="1380">
        <f t="shared" si="11"/>
        <v>0</v>
      </c>
      <c r="P27" s="1069">
        <f t="shared" si="3"/>
        <v>0</v>
      </c>
      <c r="Q27" s="1069">
        <f t="shared" si="4"/>
        <v>0</v>
      </c>
      <c r="R27" s="1386">
        <f t="shared" si="5"/>
        <v>18.05714285714286</v>
      </c>
      <c r="S27" s="1069">
        <f t="shared" si="6"/>
        <v>0</v>
      </c>
      <c r="T27" s="1069">
        <f t="shared" si="7"/>
        <v>0</v>
      </c>
      <c r="U27" s="1069">
        <f t="shared" si="7"/>
        <v>0</v>
      </c>
      <c r="V27" s="1069">
        <f t="shared" si="8"/>
        <v>0</v>
      </c>
      <c r="W27" s="1069">
        <f t="shared" si="9"/>
        <v>0</v>
      </c>
      <c r="X27" s="1383">
        <f t="shared" si="10"/>
        <v>18.05714285714286</v>
      </c>
      <c r="Y27" s="1380">
        <f t="shared" si="13"/>
        <v>0</v>
      </c>
      <c r="Z27" s="1380"/>
      <c r="AA27" s="1380">
        <f t="shared" si="12"/>
        <v>0</v>
      </c>
    </row>
    <row r="28" spans="2:27">
      <c r="B28" s="1375">
        <v>20</v>
      </c>
      <c r="C28" s="1376">
        <v>44561</v>
      </c>
      <c r="D28" s="1069"/>
      <c r="E28" s="1069"/>
      <c r="F28" s="1385">
        <v>26.18</v>
      </c>
      <c r="G28" s="1377"/>
      <c r="H28" s="1377"/>
      <c r="I28" s="1377"/>
      <c r="J28" s="1377"/>
      <c r="K28" s="1377"/>
      <c r="L28" s="1383">
        <f t="shared" si="2"/>
        <v>26.18</v>
      </c>
      <c r="M28" s="1379"/>
      <c r="N28" s="1380"/>
      <c r="O28" s="1380">
        <f t="shared" si="11"/>
        <v>0</v>
      </c>
      <c r="P28" s="1069">
        <f t="shared" si="3"/>
        <v>0</v>
      </c>
      <c r="Q28" s="1069">
        <f t="shared" si="4"/>
        <v>0</v>
      </c>
      <c r="R28" s="1386">
        <f t="shared" si="5"/>
        <v>18.7</v>
      </c>
      <c r="S28" s="1069">
        <f t="shared" si="6"/>
        <v>0</v>
      </c>
      <c r="T28" s="1069">
        <f t="shared" si="7"/>
        <v>0</v>
      </c>
      <c r="U28" s="1069">
        <f t="shared" si="7"/>
        <v>0</v>
      </c>
      <c r="V28" s="1069">
        <f t="shared" si="8"/>
        <v>0</v>
      </c>
      <c r="W28" s="1069">
        <f t="shared" si="9"/>
        <v>0</v>
      </c>
      <c r="X28" s="1383">
        <f t="shared" si="10"/>
        <v>18.7</v>
      </c>
      <c r="Y28" s="1380">
        <f t="shared" si="13"/>
        <v>0</v>
      </c>
      <c r="Z28" s="1380"/>
      <c r="AA28" s="1380">
        <f t="shared" si="12"/>
        <v>0</v>
      </c>
    </row>
    <row r="29" spans="2:27">
      <c r="B29" s="1375">
        <v>21</v>
      </c>
      <c r="C29" s="1376">
        <v>44561</v>
      </c>
      <c r="D29" s="1069"/>
      <c r="E29" s="1069"/>
      <c r="F29" s="1377"/>
      <c r="G29" s="1377">
        <v>26.32</v>
      </c>
      <c r="H29" s="1377"/>
      <c r="I29" s="1377"/>
      <c r="J29" s="1377"/>
      <c r="K29" s="1377"/>
      <c r="L29" s="1378">
        <f t="shared" si="2"/>
        <v>26.32</v>
      </c>
      <c r="M29" s="1379">
        <v>55</v>
      </c>
      <c r="N29" s="1380"/>
      <c r="O29" s="1380">
        <f t="shared" si="11"/>
        <v>1447.6</v>
      </c>
      <c r="P29" s="1069">
        <f t="shared" si="3"/>
        <v>0</v>
      </c>
      <c r="Q29" s="1069">
        <f t="shared" si="4"/>
        <v>0</v>
      </c>
      <c r="R29" s="1069">
        <f t="shared" si="5"/>
        <v>0</v>
      </c>
      <c r="S29" s="1069">
        <f t="shared" si="6"/>
        <v>18.8</v>
      </c>
      <c r="T29" s="1069">
        <f t="shared" si="7"/>
        <v>0</v>
      </c>
      <c r="U29" s="1069">
        <f t="shared" si="7"/>
        <v>0</v>
      </c>
      <c r="V29" s="1069">
        <f t="shared" si="8"/>
        <v>0</v>
      </c>
      <c r="W29" s="1069">
        <f t="shared" si="9"/>
        <v>0</v>
      </c>
      <c r="X29" s="1378">
        <f t="shared" si="10"/>
        <v>18.8</v>
      </c>
      <c r="Y29" s="1380">
        <f t="shared" si="13"/>
        <v>77</v>
      </c>
      <c r="Z29" s="1380"/>
      <c r="AA29" s="1380">
        <f t="shared" si="12"/>
        <v>1447.6000000000001</v>
      </c>
    </row>
    <row r="30" spans="2:27">
      <c r="B30" s="1375">
        <v>22</v>
      </c>
      <c r="C30" s="1376">
        <v>44561</v>
      </c>
      <c r="D30" s="1069"/>
      <c r="E30" s="1069"/>
      <c r="F30" s="1377"/>
      <c r="G30" s="1377">
        <v>26.98</v>
      </c>
      <c r="H30" s="1377"/>
      <c r="I30" s="1377"/>
      <c r="J30" s="1377"/>
      <c r="K30" s="1377"/>
      <c r="L30" s="1378">
        <f t="shared" si="2"/>
        <v>26.98</v>
      </c>
      <c r="M30" s="1379">
        <v>55</v>
      </c>
      <c r="N30" s="1380"/>
      <c r="O30" s="1380">
        <f t="shared" si="11"/>
        <v>1483.9</v>
      </c>
      <c r="P30" s="1069">
        <f t="shared" si="3"/>
        <v>0</v>
      </c>
      <c r="Q30" s="1069">
        <f t="shared" si="4"/>
        <v>0</v>
      </c>
      <c r="R30" s="1069">
        <f t="shared" si="5"/>
        <v>0</v>
      </c>
      <c r="S30" s="1069">
        <f t="shared" si="6"/>
        <v>19.271428571428572</v>
      </c>
      <c r="T30" s="1069">
        <f t="shared" si="7"/>
        <v>0</v>
      </c>
      <c r="U30" s="1069">
        <f t="shared" si="7"/>
        <v>0</v>
      </c>
      <c r="V30" s="1069">
        <f t="shared" si="8"/>
        <v>0</v>
      </c>
      <c r="W30" s="1069">
        <f t="shared" si="9"/>
        <v>0</v>
      </c>
      <c r="X30" s="1378">
        <f t="shared" si="10"/>
        <v>19.271428571428572</v>
      </c>
      <c r="Y30" s="1380">
        <f t="shared" si="13"/>
        <v>77</v>
      </c>
      <c r="Z30" s="1380"/>
      <c r="AA30" s="1380">
        <f t="shared" si="12"/>
        <v>1483.9</v>
      </c>
    </row>
    <row r="31" spans="2:27">
      <c r="B31" s="1375">
        <v>23</v>
      </c>
      <c r="C31" s="1376">
        <v>44561</v>
      </c>
      <c r="D31" s="1069"/>
      <c r="E31" s="1069"/>
      <c r="F31" s="1377"/>
      <c r="G31" s="1377">
        <v>26.58</v>
      </c>
      <c r="H31" s="1377"/>
      <c r="I31" s="1377"/>
      <c r="J31" s="1377"/>
      <c r="K31" s="1377"/>
      <c r="L31" s="1378">
        <f t="shared" si="2"/>
        <v>26.58</v>
      </c>
      <c r="M31" s="1379">
        <v>55</v>
      </c>
      <c r="N31" s="1380"/>
      <c r="O31" s="1380">
        <f t="shared" si="11"/>
        <v>1461.8999999999999</v>
      </c>
      <c r="P31" s="1069">
        <f t="shared" si="3"/>
        <v>0</v>
      </c>
      <c r="Q31" s="1069">
        <f t="shared" si="4"/>
        <v>0</v>
      </c>
      <c r="R31" s="1069">
        <f t="shared" si="5"/>
        <v>0</v>
      </c>
      <c r="S31" s="1069">
        <f t="shared" si="6"/>
        <v>18.985714285714284</v>
      </c>
      <c r="T31" s="1069">
        <f t="shared" si="7"/>
        <v>0</v>
      </c>
      <c r="U31" s="1069">
        <f t="shared" si="7"/>
        <v>0</v>
      </c>
      <c r="V31" s="1069">
        <f t="shared" si="8"/>
        <v>0</v>
      </c>
      <c r="W31" s="1069">
        <f t="shared" si="9"/>
        <v>0</v>
      </c>
      <c r="X31" s="1378">
        <f t="shared" si="10"/>
        <v>18.985714285714284</v>
      </c>
      <c r="Y31" s="1380">
        <f t="shared" si="13"/>
        <v>77</v>
      </c>
      <c r="Z31" s="1380"/>
      <c r="AA31" s="1380">
        <f t="shared" si="12"/>
        <v>1461.8999999999999</v>
      </c>
    </row>
    <row r="32" spans="2:27">
      <c r="B32" s="1375">
        <v>24</v>
      </c>
      <c r="C32" s="1376">
        <v>44561</v>
      </c>
      <c r="D32" s="1069"/>
      <c r="E32" s="1069"/>
      <c r="F32" s="1377"/>
      <c r="G32" s="1377">
        <v>26.58</v>
      </c>
      <c r="H32" s="1377"/>
      <c r="I32" s="1377"/>
      <c r="J32" s="1377"/>
      <c r="K32" s="1377"/>
      <c r="L32" s="1378">
        <f t="shared" si="2"/>
        <v>26.58</v>
      </c>
      <c r="M32" s="1379">
        <v>55</v>
      </c>
      <c r="N32" s="1380"/>
      <c r="O32" s="1380">
        <f t="shared" si="11"/>
        <v>1461.8999999999999</v>
      </c>
      <c r="P32" s="1069">
        <f t="shared" si="3"/>
        <v>0</v>
      </c>
      <c r="Q32" s="1069">
        <f t="shared" si="4"/>
        <v>0</v>
      </c>
      <c r="R32" s="1069">
        <f t="shared" si="5"/>
        <v>0</v>
      </c>
      <c r="S32" s="1069">
        <f t="shared" si="6"/>
        <v>18.985714285714284</v>
      </c>
      <c r="T32" s="1069">
        <f t="shared" si="7"/>
        <v>0</v>
      </c>
      <c r="U32" s="1069">
        <f t="shared" si="7"/>
        <v>0</v>
      </c>
      <c r="V32" s="1069">
        <f t="shared" si="8"/>
        <v>0</v>
      </c>
      <c r="W32" s="1069">
        <f t="shared" si="9"/>
        <v>0</v>
      </c>
      <c r="X32" s="1378">
        <f t="shared" si="10"/>
        <v>18.985714285714284</v>
      </c>
      <c r="Y32" s="1380">
        <f t="shared" si="13"/>
        <v>77</v>
      </c>
      <c r="Z32" s="1380"/>
      <c r="AA32" s="1380">
        <f t="shared" si="12"/>
        <v>1461.8999999999999</v>
      </c>
    </row>
    <row r="33" spans="2:27">
      <c r="B33" s="1375">
        <v>25</v>
      </c>
      <c r="C33" s="1376">
        <v>44561</v>
      </c>
      <c r="D33" s="1069"/>
      <c r="E33" s="1069"/>
      <c r="F33" s="1377"/>
      <c r="G33" s="1377">
        <v>26.46</v>
      </c>
      <c r="H33" s="1377"/>
      <c r="I33" s="1377"/>
      <c r="J33" s="1377"/>
      <c r="K33" s="1377"/>
      <c r="L33" s="1378">
        <f t="shared" si="2"/>
        <v>26.46</v>
      </c>
      <c r="M33" s="1379">
        <v>55</v>
      </c>
      <c r="N33" s="1380"/>
      <c r="O33" s="1380">
        <f t="shared" si="11"/>
        <v>1455.3</v>
      </c>
      <c r="P33" s="1069">
        <f t="shared" si="3"/>
        <v>0</v>
      </c>
      <c r="Q33" s="1069">
        <f t="shared" si="4"/>
        <v>0</v>
      </c>
      <c r="R33" s="1069">
        <f t="shared" si="5"/>
        <v>0</v>
      </c>
      <c r="S33" s="1069">
        <f t="shared" si="6"/>
        <v>18.900000000000002</v>
      </c>
      <c r="T33" s="1069">
        <f t="shared" si="7"/>
        <v>0</v>
      </c>
      <c r="U33" s="1069">
        <f t="shared" si="7"/>
        <v>0</v>
      </c>
      <c r="V33" s="1069">
        <f t="shared" si="8"/>
        <v>0</v>
      </c>
      <c r="W33" s="1069">
        <f t="shared" si="9"/>
        <v>0</v>
      </c>
      <c r="X33" s="1378">
        <f t="shared" si="10"/>
        <v>18.900000000000002</v>
      </c>
      <c r="Y33" s="1380">
        <f t="shared" si="13"/>
        <v>77</v>
      </c>
      <c r="Z33" s="1380"/>
      <c r="AA33" s="1380">
        <f t="shared" si="12"/>
        <v>1455.3000000000002</v>
      </c>
    </row>
    <row r="34" spans="2:27">
      <c r="B34" s="1375">
        <v>26</v>
      </c>
      <c r="C34" s="1376">
        <v>44561</v>
      </c>
      <c r="D34" s="1069"/>
      <c r="E34" s="1069"/>
      <c r="F34" s="1377"/>
      <c r="G34" s="1377">
        <v>25.8</v>
      </c>
      <c r="H34" s="1377"/>
      <c r="I34" s="1377"/>
      <c r="J34" s="1377"/>
      <c r="K34" s="1377"/>
      <c r="L34" s="1378">
        <f t="shared" si="2"/>
        <v>25.8</v>
      </c>
      <c r="M34" s="1379">
        <v>55</v>
      </c>
      <c r="N34" s="1380"/>
      <c r="O34" s="1380">
        <f t="shared" si="11"/>
        <v>1419</v>
      </c>
      <c r="P34" s="1069">
        <f t="shared" si="3"/>
        <v>0</v>
      </c>
      <c r="Q34" s="1069">
        <f t="shared" si="4"/>
        <v>0</v>
      </c>
      <c r="R34" s="1069">
        <f t="shared" si="5"/>
        <v>0</v>
      </c>
      <c r="S34" s="1069">
        <f t="shared" si="6"/>
        <v>18.428571428571431</v>
      </c>
      <c r="T34" s="1069">
        <f t="shared" si="7"/>
        <v>0</v>
      </c>
      <c r="U34" s="1069">
        <f t="shared" si="7"/>
        <v>0</v>
      </c>
      <c r="V34" s="1069">
        <f t="shared" si="8"/>
        <v>0</v>
      </c>
      <c r="W34" s="1069">
        <f t="shared" si="9"/>
        <v>0</v>
      </c>
      <c r="X34" s="1378">
        <f t="shared" si="10"/>
        <v>18.428571428571431</v>
      </c>
      <c r="Y34" s="1380">
        <f t="shared" si="13"/>
        <v>77</v>
      </c>
      <c r="Z34" s="1380"/>
      <c r="AA34" s="1380">
        <f t="shared" si="12"/>
        <v>1419.0000000000002</v>
      </c>
    </row>
    <row r="35" spans="2:27">
      <c r="B35" s="1375">
        <v>27</v>
      </c>
      <c r="C35" s="1376">
        <v>44561</v>
      </c>
      <c r="D35" s="1069"/>
      <c r="E35" s="1069"/>
      <c r="F35" s="1377"/>
      <c r="G35" s="1377">
        <v>26.34</v>
      </c>
      <c r="H35" s="1377"/>
      <c r="I35" s="1377"/>
      <c r="J35" s="1377"/>
      <c r="K35" s="1377"/>
      <c r="L35" s="1378">
        <f t="shared" si="2"/>
        <v>26.34</v>
      </c>
      <c r="M35" s="1379">
        <v>55</v>
      </c>
      <c r="N35" s="1380"/>
      <c r="O35" s="1380">
        <f t="shared" si="11"/>
        <v>1448.7</v>
      </c>
      <c r="P35" s="1069">
        <f t="shared" si="3"/>
        <v>0</v>
      </c>
      <c r="Q35" s="1069">
        <f t="shared" si="4"/>
        <v>0</v>
      </c>
      <c r="R35" s="1069">
        <f t="shared" si="5"/>
        <v>0</v>
      </c>
      <c r="S35" s="1069">
        <f t="shared" si="6"/>
        <v>18.814285714285717</v>
      </c>
      <c r="T35" s="1069">
        <f t="shared" si="7"/>
        <v>0</v>
      </c>
      <c r="U35" s="1069">
        <f t="shared" si="7"/>
        <v>0</v>
      </c>
      <c r="V35" s="1069">
        <f t="shared" si="8"/>
        <v>0</v>
      </c>
      <c r="W35" s="1069">
        <f t="shared" si="9"/>
        <v>0</v>
      </c>
      <c r="X35" s="1378">
        <f t="shared" si="10"/>
        <v>18.814285714285717</v>
      </c>
      <c r="Y35" s="1380">
        <f t="shared" si="13"/>
        <v>77</v>
      </c>
      <c r="Z35" s="1380"/>
      <c r="AA35" s="1380">
        <f t="shared" si="12"/>
        <v>1448.7000000000003</v>
      </c>
    </row>
    <row r="36" spans="2:27">
      <c r="B36" s="1375">
        <v>28</v>
      </c>
      <c r="C36" s="1376">
        <v>44561</v>
      </c>
      <c r="D36" s="1069"/>
      <c r="E36" s="1069"/>
      <c r="F36" s="1377"/>
      <c r="G36" s="1377">
        <v>26.98</v>
      </c>
      <c r="H36" s="1377"/>
      <c r="I36" s="1377"/>
      <c r="J36" s="1377"/>
      <c r="K36" s="1377"/>
      <c r="L36" s="1378">
        <f t="shared" si="2"/>
        <v>26.98</v>
      </c>
      <c r="M36" s="1379">
        <v>55</v>
      </c>
      <c r="N36" s="1380"/>
      <c r="O36" s="1380">
        <f t="shared" si="11"/>
        <v>1483.9</v>
      </c>
      <c r="P36" s="1069">
        <f t="shared" si="3"/>
        <v>0</v>
      </c>
      <c r="Q36" s="1069">
        <f t="shared" si="4"/>
        <v>0</v>
      </c>
      <c r="R36" s="1069">
        <f t="shared" si="5"/>
        <v>0</v>
      </c>
      <c r="S36" s="1069">
        <f t="shared" si="6"/>
        <v>19.271428571428572</v>
      </c>
      <c r="T36" s="1069">
        <f t="shared" si="7"/>
        <v>0</v>
      </c>
      <c r="U36" s="1069">
        <f t="shared" si="7"/>
        <v>0</v>
      </c>
      <c r="V36" s="1069">
        <f t="shared" si="8"/>
        <v>0</v>
      </c>
      <c r="W36" s="1069">
        <f t="shared" si="9"/>
        <v>0</v>
      </c>
      <c r="X36" s="1378">
        <f t="shared" si="10"/>
        <v>19.271428571428572</v>
      </c>
      <c r="Y36" s="1380">
        <f t="shared" si="13"/>
        <v>77</v>
      </c>
      <c r="Z36" s="1380"/>
      <c r="AA36" s="1380">
        <f t="shared" si="12"/>
        <v>1483.9</v>
      </c>
    </row>
    <row r="37" spans="2:27">
      <c r="B37" s="1375">
        <v>29</v>
      </c>
      <c r="C37" s="1376">
        <v>44561</v>
      </c>
      <c r="D37" s="1069"/>
      <c r="E37" s="1069"/>
      <c r="F37" s="1377"/>
      <c r="G37" s="1377">
        <v>26.64</v>
      </c>
      <c r="H37" s="1377"/>
      <c r="I37" s="1377"/>
      <c r="J37" s="1377"/>
      <c r="K37" s="1377"/>
      <c r="L37" s="1378">
        <f t="shared" si="2"/>
        <v>26.64</v>
      </c>
      <c r="M37" s="1379">
        <v>55</v>
      </c>
      <c r="N37" s="1380"/>
      <c r="O37" s="1380">
        <f t="shared" si="11"/>
        <v>1465.2</v>
      </c>
      <c r="P37" s="1069">
        <f t="shared" si="3"/>
        <v>0</v>
      </c>
      <c r="Q37" s="1069">
        <f t="shared" si="4"/>
        <v>0</v>
      </c>
      <c r="R37" s="1069">
        <f t="shared" si="5"/>
        <v>0</v>
      </c>
      <c r="S37" s="1069">
        <f t="shared" si="6"/>
        <v>19.028571428571428</v>
      </c>
      <c r="T37" s="1069">
        <f t="shared" si="7"/>
        <v>0</v>
      </c>
      <c r="U37" s="1069">
        <f t="shared" si="7"/>
        <v>0</v>
      </c>
      <c r="V37" s="1069">
        <f t="shared" si="8"/>
        <v>0</v>
      </c>
      <c r="W37" s="1069">
        <f t="shared" si="9"/>
        <v>0</v>
      </c>
      <c r="X37" s="1378">
        <f t="shared" si="10"/>
        <v>19.028571428571428</v>
      </c>
      <c r="Y37" s="1380">
        <f t="shared" si="13"/>
        <v>77</v>
      </c>
      <c r="Z37" s="1380"/>
      <c r="AA37" s="1380">
        <f t="shared" si="12"/>
        <v>1465.2</v>
      </c>
    </row>
    <row r="38" spans="2:27">
      <c r="B38" s="1375">
        <v>30</v>
      </c>
      <c r="C38" s="1376">
        <v>44561</v>
      </c>
      <c r="D38" s="1069"/>
      <c r="E38" s="1069"/>
      <c r="F38" s="1377"/>
      <c r="G38" s="1377">
        <v>25.88</v>
      </c>
      <c r="H38" s="1377"/>
      <c r="I38" s="1377"/>
      <c r="J38" s="1377"/>
      <c r="K38" s="1377"/>
      <c r="L38" s="1378">
        <f t="shared" si="2"/>
        <v>25.88</v>
      </c>
      <c r="M38" s="1379">
        <v>55</v>
      </c>
      <c r="N38" s="1380"/>
      <c r="O38" s="1380">
        <f t="shared" si="11"/>
        <v>1423.3999999999999</v>
      </c>
      <c r="P38" s="1069">
        <f t="shared" si="3"/>
        <v>0</v>
      </c>
      <c r="Q38" s="1069">
        <f t="shared" si="4"/>
        <v>0</v>
      </c>
      <c r="R38" s="1069">
        <f t="shared" si="5"/>
        <v>0</v>
      </c>
      <c r="S38" s="1069">
        <f t="shared" si="6"/>
        <v>18.485714285714288</v>
      </c>
      <c r="T38" s="1069">
        <f t="shared" si="7"/>
        <v>0</v>
      </c>
      <c r="U38" s="1069">
        <f t="shared" si="7"/>
        <v>0</v>
      </c>
      <c r="V38" s="1069">
        <f t="shared" si="8"/>
        <v>0</v>
      </c>
      <c r="W38" s="1069">
        <f t="shared" si="9"/>
        <v>0</v>
      </c>
      <c r="X38" s="1378">
        <f t="shared" si="10"/>
        <v>18.485714285714288</v>
      </c>
      <c r="Y38" s="1380">
        <f t="shared" si="13"/>
        <v>77</v>
      </c>
      <c r="Z38" s="1380"/>
      <c r="AA38" s="1380">
        <f t="shared" si="12"/>
        <v>1423.4</v>
      </c>
    </row>
    <row r="39" spans="2:27">
      <c r="B39" s="1375">
        <v>31</v>
      </c>
      <c r="C39" s="1376">
        <v>44561</v>
      </c>
      <c r="D39" s="1069"/>
      <c r="E39" s="1069"/>
      <c r="F39" s="1377"/>
      <c r="G39" s="1377">
        <v>26.16</v>
      </c>
      <c r="H39" s="1377"/>
      <c r="I39" s="1377"/>
      <c r="J39" s="1377"/>
      <c r="K39" s="1377"/>
      <c r="L39" s="1378">
        <f t="shared" si="2"/>
        <v>26.16</v>
      </c>
      <c r="M39" s="1379">
        <v>55</v>
      </c>
      <c r="N39" s="1380"/>
      <c r="O39" s="1380">
        <f t="shared" si="11"/>
        <v>1438.8</v>
      </c>
      <c r="P39" s="1069">
        <f t="shared" si="3"/>
        <v>0</v>
      </c>
      <c r="Q39" s="1069">
        <f t="shared" si="4"/>
        <v>0</v>
      </c>
      <c r="R39" s="1069">
        <f t="shared" si="5"/>
        <v>0</v>
      </c>
      <c r="S39" s="1069">
        <f t="shared" si="6"/>
        <v>18.685714285714287</v>
      </c>
      <c r="T39" s="1069">
        <f t="shared" si="7"/>
        <v>0</v>
      </c>
      <c r="U39" s="1069">
        <f t="shared" si="7"/>
        <v>0</v>
      </c>
      <c r="V39" s="1069">
        <f t="shared" si="8"/>
        <v>0</v>
      </c>
      <c r="W39" s="1069">
        <f t="shared" si="9"/>
        <v>0</v>
      </c>
      <c r="X39" s="1378">
        <f t="shared" si="10"/>
        <v>18.685714285714287</v>
      </c>
      <c r="Y39" s="1380">
        <f t="shared" si="13"/>
        <v>77</v>
      </c>
      <c r="Z39" s="1380"/>
      <c r="AA39" s="1380">
        <f t="shared" si="12"/>
        <v>1438.8000000000002</v>
      </c>
    </row>
    <row r="40" spans="2:27">
      <c r="B40" s="1375">
        <v>32</v>
      </c>
      <c r="C40" s="1376">
        <v>44561</v>
      </c>
      <c r="D40" s="1069"/>
      <c r="E40" s="1069"/>
      <c r="F40" s="1377"/>
      <c r="G40" s="1377">
        <v>26.22</v>
      </c>
      <c r="H40" s="1377"/>
      <c r="I40" s="1377"/>
      <c r="J40" s="1377"/>
      <c r="K40" s="1377"/>
      <c r="L40" s="1378">
        <f t="shared" si="2"/>
        <v>26.22</v>
      </c>
      <c r="M40" s="1379">
        <v>55</v>
      </c>
      <c r="N40" s="1380"/>
      <c r="O40" s="1380">
        <f t="shared" si="11"/>
        <v>1442.1</v>
      </c>
      <c r="P40" s="1069">
        <f t="shared" si="3"/>
        <v>0</v>
      </c>
      <c r="Q40" s="1069">
        <f t="shared" si="4"/>
        <v>0</v>
      </c>
      <c r="R40" s="1069">
        <f t="shared" si="5"/>
        <v>0</v>
      </c>
      <c r="S40" s="1069">
        <f t="shared" si="6"/>
        <v>18.728571428571428</v>
      </c>
      <c r="T40" s="1069">
        <f t="shared" si="7"/>
        <v>0</v>
      </c>
      <c r="U40" s="1069">
        <f t="shared" si="7"/>
        <v>0</v>
      </c>
      <c r="V40" s="1069">
        <f t="shared" si="8"/>
        <v>0</v>
      </c>
      <c r="W40" s="1069">
        <f t="shared" si="9"/>
        <v>0</v>
      </c>
      <c r="X40" s="1378">
        <f t="shared" si="10"/>
        <v>18.728571428571428</v>
      </c>
      <c r="Y40" s="1380">
        <f t="shared" si="13"/>
        <v>77</v>
      </c>
      <c r="Z40" s="1380"/>
      <c r="AA40" s="1380">
        <f t="shared" si="12"/>
        <v>1442.1</v>
      </c>
    </row>
    <row r="41" spans="2:27">
      <c r="B41" s="1375">
        <v>33</v>
      </c>
      <c r="C41" s="1376">
        <v>44561</v>
      </c>
      <c r="D41" s="1069"/>
      <c r="E41" s="1069"/>
      <c r="F41" s="1377"/>
      <c r="G41" s="1377">
        <v>25.94</v>
      </c>
      <c r="H41" s="1377"/>
      <c r="I41" s="1377"/>
      <c r="J41" s="1377"/>
      <c r="K41" s="1377"/>
      <c r="L41" s="1378">
        <f t="shared" si="2"/>
        <v>25.94</v>
      </c>
      <c r="M41" s="1379">
        <v>55</v>
      </c>
      <c r="N41" s="1380"/>
      <c r="O41" s="1380">
        <f t="shared" si="11"/>
        <v>1426.7</v>
      </c>
      <c r="P41" s="1069">
        <f t="shared" si="3"/>
        <v>0</v>
      </c>
      <c r="Q41" s="1069">
        <f t="shared" si="4"/>
        <v>0</v>
      </c>
      <c r="R41" s="1069">
        <f t="shared" si="5"/>
        <v>0</v>
      </c>
      <c r="S41" s="1069">
        <f t="shared" si="6"/>
        <v>18.528571428571432</v>
      </c>
      <c r="T41" s="1069">
        <f t="shared" si="7"/>
        <v>0</v>
      </c>
      <c r="U41" s="1069">
        <f t="shared" si="7"/>
        <v>0</v>
      </c>
      <c r="V41" s="1069">
        <f t="shared" si="8"/>
        <v>0</v>
      </c>
      <c r="W41" s="1069">
        <f t="shared" si="9"/>
        <v>0</v>
      </c>
      <c r="X41" s="1378">
        <f t="shared" si="10"/>
        <v>18.528571428571432</v>
      </c>
      <c r="Y41" s="1380">
        <f t="shared" si="13"/>
        <v>77</v>
      </c>
      <c r="Z41" s="1380"/>
      <c r="AA41" s="1380">
        <f t="shared" si="12"/>
        <v>1426.7000000000003</v>
      </c>
    </row>
    <row r="42" spans="2:27">
      <c r="B42" s="1375">
        <v>34</v>
      </c>
      <c r="C42" s="1376">
        <v>44561</v>
      </c>
      <c r="D42" s="1069"/>
      <c r="E42" s="1069"/>
      <c r="F42" s="1377"/>
      <c r="G42" s="1377">
        <v>26.8</v>
      </c>
      <c r="H42" s="1377"/>
      <c r="I42" s="1377"/>
      <c r="J42" s="1377"/>
      <c r="K42" s="1377"/>
      <c r="L42" s="1378">
        <f t="shared" si="2"/>
        <v>26.8</v>
      </c>
      <c r="M42" s="1379">
        <v>55</v>
      </c>
      <c r="N42" s="1380"/>
      <c r="O42" s="1380">
        <f t="shared" si="11"/>
        <v>1474</v>
      </c>
      <c r="P42" s="1069">
        <f t="shared" si="3"/>
        <v>0</v>
      </c>
      <c r="Q42" s="1069">
        <f t="shared" si="4"/>
        <v>0</v>
      </c>
      <c r="R42" s="1069">
        <f t="shared" si="5"/>
        <v>0</v>
      </c>
      <c r="S42" s="1069">
        <f t="shared" si="6"/>
        <v>19.142857142857146</v>
      </c>
      <c r="T42" s="1069">
        <f t="shared" si="7"/>
        <v>0</v>
      </c>
      <c r="U42" s="1069">
        <f t="shared" si="7"/>
        <v>0</v>
      </c>
      <c r="V42" s="1069">
        <f t="shared" si="8"/>
        <v>0</v>
      </c>
      <c r="W42" s="1069">
        <f t="shared" si="9"/>
        <v>0</v>
      </c>
      <c r="X42" s="1378">
        <f t="shared" si="10"/>
        <v>19.142857142857146</v>
      </c>
      <c r="Y42" s="1380">
        <f t="shared" si="13"/>
        <v>77</v>
      </c>
      <c r="Z42" s="1380"/>
      <c r="AA42" s="1380">
        <f t="shared" si="12"/>
        <v>1474.0000000000002</v>
      </c>
    </row>
    <row r="43" spans="2:27">
      <c r="B43" s="1375">
        <v>35</v>
      </c>
      <c r="C43" s="1376">
        <v>44561</v>
      </c>
      <c r="D43" s="1069"/>
      <c r="E43" s="1069"/>
      <c r="F43" s="1377"/>
      <c r="G43" s="1377">
        <v>13.78</v>
      </c>
      <c r="H43" s="1377"/>
      <c r="I43" s="1377"/>
      <c r="J43" s="1377"/>
      <c r="K43" s="1377"/>
      <c r="L43" s="1378">
        <f t="shared" si="2"/>
        <v>13.78</v>
      </c>
      <c r="M43" s="1379">
        <v>55</v>
      </c>
      <c r="N43" s="1380"/>
      <c r="O43" s="1380">
        <f t="shared" si="11"/>
        <v>757.9</v>
      </c>
      <c r="P43" s="1069">
        <f t="shared" si="3"/>
        <v>0</v>
      </c>
      <c r="Q43" s="1069">
        <f t="shared" si="4"/>
        <v>0</v>
      </c>
      <c r="R43" s="1069">
        <f t="shared" si="5"/>
        <v>0</v>
      </c>
      <c r="S43" s="1069">
        <f t="shared" si="6"/>
        <v>9.8428571428571434</v>
      </c>
      <c r="T43" s="1069">
        <f t="shared" si="7"/>
        <v>0</v>
      </c>
      <c r="U43" s="1069">
        <f t="shared" si="7"/>
        <v>0</v>
      </c>
      <c r="V43" s="1069">
        <f t="shared" si="8"/>
        <v>0</v>
      </c>
      <c r="W43" s="1069">
        <f t="shared" si="9"/>
        <v>0</v>
      </c>
      <c r="X43" s="1378">
        <f t="shared" si="10"/>
        <v>9.8428571428571434</v>
      </c>
      <c r="Y43" s="1380">
        <f t="shared" si="13"/>
        <v>77</v>
      </c>
      <c r="Z43" s="1380"/>
      <c r="AA43" s="1380">
        <f t="shared" si="12"/>
        <v>757.90000000000009</v>
      </c>
    </row>
    <row r="44" spans="2:27">
      <c r="B44" s="1375">
        <v>36</v>
      </c>
      <c r="C44" s="1376">
        <v>44561</v>
      </c>
      <c r="D44" s="1069"/>
      <c r="E44" s="1069"/>
      <c r="F44" s="1377"/>
      <c r="G44" s="1377">
        <v>7.18</v>
      </c>
      <c r="H44" s="1377"/>
      <c r="I44" s="1377"/>
      <c r="J44" s="1377"/>
      <c r="K44" s="1377"/>
      <c r="L44" s="1378">
        <f t="shared" si="2"/>
        <v>7.18</v>
      </c>
      <c r="M44" s="1379">
        <v>55</v>
      </c>
      <c r="N44" s="1380"/>
      <c r="O44" s="1380">
        <f t="shared" si="11"/>
        <v>394.9</v>
      </c>
      <c r="P44" s="1069">
        <f t="shared" si="3"/>
        <v>0</v>
      </c>
      <c r="Q44" s="1069">
        <f t="shared" si="4"/>
        <v>0</v>
      </c>
      <c r="R44" s="1069">
        <f t="shared" si="5"/>
        <v>0</v>
      </c>
      <c r="S44" s="1069">
        <f t="shared" si="6"/>
        <v>5.128571428571429</v>
      </c>
      <c r="T44" s="1069">
        <f t="shared" si="7"/>
        <v>0</v>
      </c>
      <c r="U44" s="1069">
        <f t="shared" si="7"/>
        <v>0</v>
      </c>
      <c r="V44" s="1069">
        <f t="shared" si="8"/>
        <v>0</v>
      </c>
      <c r="W44" s="1069">
        <f t="shared" si="9"/>
        <v>0</v>
      </c>
      <c r="X44" s="1378">
        <f t="shared" si="10"/>
        <v>5.128571428571429</v>
      </c>
      <c r="Y44" s="1380">
        <f t="shared" si="13"/>
        <v>77</v>
      </c>
      <c r="Z44" s="1380"/>
      <c r="AA44" s="1380">
        <f t="shared" si="12"/>
        <v>394.90000000000003</v>
      </c>
    </row>
    <row r="45" spans="2:27">
      <c r="B45" s="1375">
        <v>37</v>
      </c>
      <c r="C45" s="1376">
        <v>44561</v>
      </c>
      <c r="D45" s="1069"/>
      <c r="E45" s="1069"/>
      <c r="F45" s="1377">
        <v>26.24</v>
      </c>
      <c r="G45" s="1377"/>
      <c r="H45" s="1377"/>
      <c r="I45" s="1377"/>
      <c r="J45" s="1377"/>
      <c r="K45" s="1377"/>
      <c r="L45" s="1378">
        <f t="shared" si="2"/>
        <v>26.24</v>
      </c>
      <c r="M45" s="1379">
        <v>55</v>
      </c>
      <c r="N45" s="1380"/>
      <c r="O45" s="1380">
        <f t="shared" si="11"/>
        <v>1443.1999999999998</v>
      </c>
      <c r="P45" s="1069">
        <f t="shared" si="3"/>
        <v>0</v>
      </c>
      <c r="Q45" s="1069">
        <f t="shared" si="4"/>
        <v>0</v>
      </c>
      <c r="R45" s="1069">
        <f t="shared" si="5"/>
        <v>18.742857142857144</v>
      </c>
      <c r="S45" s="1069">
        <f t="shared" si="6"/>
        <v>0</v>
      </c>
      <c r="T45" s="1069">
        <f t="shared" si="7"/>
        <v>0</v>
      </c>
      <c r="U45" s="1069">
        <f t="shared" si="7"/>
        <v>0</v>
      </c>
      <c r="V45" s="1069">
        <f t="shared" si="8"/>
        <v>0</v>
      </c>
      <c r="W45" s="1069">
        <f t="shared" si="9"/>
        <v>0</v>
      </c>
      <c r="X45" s="1378">
        <f t="shared" si="10"/>
        <v>18.742857142857144</v>
      </c>
      <c r="Y45" s="1380">
        <f t="shared" si="13"/>
        <v>77</v>
      </c>
      <c r="Z45" s="1380"/>
      <c r="AA45" s="1380">
        <f t="shared" si="12"/>
        <v>1443.2</v>
      </c>
    </row>
    <row r="46" spans="2:27">
      <c r="B46" s="1375">
        <v>38</v>
      </c>
      <c r="C46" s="1376">
        <v>44561</v>
      </c>
      <c r="D46" s="1069"/>
      <c r="E46" s="1069"/>
      <c r="F46" s="1377">
        <v>25.12</v>
      </c>
      <c r="G46" s="1377"/>
      <c r="H46" s="1377"/>
      <c r="I46" s="1377"/>
      <c r="J46" s="1377"/>
      <c r="K46" s="1377"/>
      <c r="L46" s="1378">
        <f t="shared" si="2"/>
        <v>25.12</v>
      </c>
      <c r="M46" s="1379">
        <v>55</v>
      </c>
      <c r="N46" s="1380"/>
      <c r="O46" s="1380">
        <f t="shared" si="11"/>
        <v>1381.6000000000001</v>
      </c>
      <c r="P46" s="1069">
        <f t="shared" si="3"/>
        <v>0</v>
      </c>
      <c r="Q46" s="1069">
        <f t="shared" si="4"/>
        <v>0</v>
      </c>
      <c r="R46" s="1069">
        <f t="shared" si="5"/>
        <v>17.942857142857143</v>
      </c>
      <c r="S46" s="1069">
        <f t="shared" si="6"/>
        <v>0</v>
      </c>
      <c r="T46" s="1069">
        <f t="shared" si="7"/>
        <v>0</v>
      </c>
      <c r="U46" s="1069">
        <f t="shared" si="7"/>
        <v>0</v>
      </c>
      <c r="V46" s="1069">
        <f t="shared" si="8"/>
        <v>0</v>
      </c>
      <c r="W46" s="1069">
        <f t="shared" si="9"/>
        <v>0</v>
      </c>
      <c r="X46" s="1378">
        <f t="shared" si="10"/>
        <v>17.942857142857143</v>
      </c>
      <c r="Y46" s="1380">
        <f t="shared" si="13"/>
        <v>77</v>
      </c>
      <c r="Z46" s="1380"/>
      <c r="AA46" s="1380">
        <f t="shared" si="12"/>
        <v>1381.6</v>
      </c>
    </row>
    <row r="47" spans="2:27">
      <c r="B47" s="1375">
        <v>39</v>
      </c>
      <c r="C47" s="1376">
        <v>44561</v>
      </c>
      <c r="D47" s="1069"/>
      <c r="E47" s="1069"/>
      <c r="F47" s="1377"/>
      <c r="G47" s="1377"/>
      <c r="H47" s="1377"/>
      <c r="I47" s="1377"/>
      <c r="J47" s="1377"/>
      <c r="K47" s="1377">
        <v>70</v>
      </c>
      <c r="L47" s="1378">
        <f t="shared" si="2"/>
        <v>70</v>
      </c>
      <c r="M47" s="1379">
        <v>55</v>
      </c>
      <c r="N47" s="1380"/>
      <c r="O47" s="1380">
        <f t="shared" si="11"/>
        <v>3850</v>
      </c>
      <c r="P47" s="1069">
        <f t="shared" si="3"/>
        <v>0</v>
      </c>
      <c r="Q47" s="1069">
        <f t="shared" si="4"/>
        <v>0</v>
      </c>
      <c r="R47" s="1069">
        <f t="shared" si="5"/>
        <v>0</v>
      </c>
      <c r="S47" s="1069">
        <f t="shared" si="6"/>
        <v>0</v>
      </c>
      <c r="T47" s="1069">
        <f t="shared" si="7"/>
        <v>0</v>
      </c>
      <c r="U47" s="1069">
        <f t="shared" si="7"/>
        <v>0</v>
      </c>
      <c r="V47" s="1069">
        <f t="shared" si="8"/>
        <v>0</v>
      </c>
      <c r="W47" s="1069">
        <f t="shared" si="9"/>
        <v>50</v>
      </c>
      <c r="X47" s="1378">
        <f t="shared" si="10"/>
        <v>50</v>
      </c>
      <c r="Y47" s="1380">
        <f t="shared" si="13"/>
        <v>77</v>
      </c>
      <c r="Z47" s="1380"/>
      <c r="AA47" s="1380">
        <f t="shared" si="12"/>
        <v>3850</v>
      </c>
    </row>
    <row r="48" spans="2:27">
      <c r="B48" s="1375">
        <v>40</v>
      </c>
      <c r="C48" s="1376">
        <v>44561</v>
      </c>
      <c r="D48" s="1069"/>
      <c r="E48" s="1069"/>
      <c r="F48" s="1377"/>
      <c r="G48" s="1377"/>
      <c r="H48" s="1377"/>
      <c r="I48" s="1377"/>
      <c r="J48" s="1377"/>
      <c r="K48" s="1377">
        <v>70</v>
      </c>
      <c r="L48" s="1378">
        <f t="shared" si="2"/>
        <v>70</v>
      </c>
      <c r="M48" s="1379">
        <v>55</v>
      </c>
      <c r="N48" s="1380"/>
      <c r="O48" s="1380">
        <f t="shared" si="11"/>
        <v>3850</v>
      </c>
      <c r="P48" s="1069">
        <f t="shared" si="3"/>
        <v>0</v>
      </c>
      <c r="Q48" s="1069">
        <f t="shared" si="4"/>
        <v>0</v>
      </c>
      <c r="R48" s="1069">
        <f t="shared" si="5"/>
        <v>0</v>
      </c>
      <c r="S48" s="1069">
        <f t="shared" si="6"/>
        <v>0</v>
      </c>
      <c r="T48" s="1069">
        <f t="shared" si="7"/>
        <v>0</v>
      </c>
      <c r="U48" s="1069">
        <f t="shared" si="7"/>
        <v>0</v>
      </c>
      <c r="V48" s="1069">
        <f t="shared" si="8"/>
        <v>0</v>
      </c>
      <c r="W48" s="1069">
        <f t="shared" si="9"/>
        <v>50</v>
      </c>
      <c r="X48" s="1378">
        <f t="shared" si="10"/>
        <v>50</v>
      </c>
      <c r="Y48" s="1380">
        <f t="shared" si="13"/>
        <v>77</v>
      </c>
      <c r="Z48" s="1380"/>
      <c r="AA48" s="1380">
        <f t="shared" si="12"/>
        <v>3850</v>
      </c>
    </row>
    <row r="49" spans="2:27">
      <c r="B49" s="1375">
        <v>41</v>
      </c>
      <c r="C49" s="1376">
        <v>44561</v>
      </c>
      <c r="D49" s="1069"/>
      <c r="E49" s="1069"/>
      <c r="F49" s="1377"/>
      <c r="G49" s="1377"/>
      <c r="H49" s="1377"/>
      <c r="I49" s="1377"/>
      <c r="J49" s="1377"/>
      <c r="K49" s="1377">
        <v>70</v>
      </c>
      <c r="L49" s="1378">
        <f t="shared" si="2"/>
        <v>70</v>
      </c>
      <c r="M49" s="1379">
        <v>55</v>
      </c>
      <c r="N49" s="1380"/>
      <c r="O49" s="1380">
        <f t="shared" si="11"/>
        <v>3850</v>
      </c>
      <c r="P49" s="1069">
        <f t="shared" si="3"/>
        <v>0</v>
      </c>
      <c r="Q49" s="1069">
        <f t="shared" si="4"/>
        <v>0</v>
      </c>
      <c r="R49" s="1069">
        <f t="shared" si="5"/>
        <v>0</v>
      </c>
      <c r="S49" s="1069">
        <f t="shared" si="6"/>
        <v>0</v>
      </c>
      <c r="T49" s="1069">
        <f t="shared" si="7"/>
        <v>0</v>
      </c>
      <c r="U49" s="1069">
        <f t="shared" si="7"/>
        <v>0</v>
      </c>
      <c r="V49" s="1069">
        <f t="shared" si="8"/>
        <v>0</v>
      </c>
      <c r="W49" s="1069">
        <f t="shared" si="9"/>
        <v>50</v>
      </c>
      <c r="X49" s="1378">
        <f t="shared" si="10"/>
        <v>50</v>
      </c>
      <c r="Y49" s="1380">
        <f t="shared" si="13"/>
        <v>77</v>
      </c>
      <c r="Z49" s="1380"/>
      <c r="AA49" s="1380">
        <f t="shared" si="12"/>
        <v>3850</v>
      </c>
    </row>
    <row r="50" spans="2:27" hidden="1">
      <c r="B50" s="1375">
        <v>42</v>
      </c>
      <c r="C50" s="1376">
        <v>44926</v>
      </c>
      <c r="D50" s="1069"/>
      <c r="E50" s="1069"/>
      <c r="F50" s="1377"/>
      <c r="G50" s="1377"/>
      <c r="H50" s="1377"/>
      <c r="I50" s="1377"/>
      <c r="J50" s="1377"/>
      <c r="K50" s="1385">
        <v>17.32</v>
      </c>
      <c r="L50" s="1383">
        <f t="shared" si="2"/>
        <v>17.32</v>
      </c>
      <c r="M50" s="1380"/>
      <c r="N50" s="1380"/>
      <c r="O50" s="1380">
        <f t="shared" si="11"/>
        <v>0</v>
      </c>
      <c r="P50" s="1069">
        <f t="shared" si="3"/>
        <v>0</v>
      </c>
      <c r="Q50" s="1069">
        <f t="shared" si="4"/>
        <v>0</v>
      </c>
      <c r="R50" s="1069">
        <f t="shared" si="5"/>
        <v>0</v>
      </c>
      <c r="S50" s="1069">
        <f t="shared" si="6"/>
        <v>0</v>
      </c>
      <c r="T50" s="1069">
        <f t="shared" si="7"/>
        <v>0</v>
      </c>
      <c r="U50" s="1069">
        <f t="shared" si="7"/>
        <v>0</v>
      </c>
      <c r="V50" s="1069">
        <f t="shared" si="8"/>
        <v>0</v>
      </c>
      <c r="W50" s="1386">
        <f t="shared" si="9"/>
        <v>12.371428571428572</v>
      </c>
      <c r="X50" s="1383">
        <f t="shared" si="10"/>
        <v>12.371428571428572</v>
      </c>
      <c r="Y50" s="1380">
        <f t="shared" si="13"/>
        <v>0</v>
      </c>
      <c r="Z50" s="1380"/>
      <c r="AA50" s="1380">
        <f t="shared" si="12"/>
        <v>0</v>
      </c>
    </row>
    <row r="51" spans="2:27" hidden="1">
      <c r="B51" s="1375">
        <v>43</v>
      </c>
      <c r="C51" s="1376">
        <v>44926</v>
      </c>
      <c r="D51" s="1069"/>
      <c r="E51" s="1069"/>
      <c r="F51" s="1377"/>
      <c r="G51" s="1377"/>
      <c r="H51" s="1377"/>
      <c r="I51" s="1377"/>
      <c r="J51" s="1377"/>
      <c r="K51" s="1385">
        <v>0.98</v>
      </c>
      <c r="L51" s="1383">
        <f t="shared" si="2"/>
        <v>0.98</v>
      </c>
      <c r="M51" s="1380"/>
      <c r="N51" s="1380"/>
      <c r="O51" s="1380">
        <f t="shared" si="11"/>
        <v>0</v>
      </c>
      <c r="P51" s="1069">
        <f t="shared" si="3"/>
        <v>0</v>
      </c>
      <c r="Q51" s="1069">
        <f t="shared" si="4"/>
        <v>0</v>
      </c>
      <c r="R51" s="1069">
        <f t="shared" si="5"/>
        <v>0</v>
      </c>
      <c r="S51" s="1069">
        <f t="shared" si="6"/>
        <v>0</v>
      </c>
      <c r="T51" s="1069">
        <f t="shared" si="7"/>
        <v>0</v>
      </c>
      <c r="U51" s="1069">
        <f t="shared" si="7"/>
        <v>0</v>
      </c>
      <c r="V51" s="1069">
        <f t="shared" si="8"/>
        <v>0</v>
      </c>
      <c r="W51" s="1386">
        <f t="shared" si="9"/>
        <v>0.70000000000000007</v>
      </c>
      <c r="X51" s="1383">
        <f t="shared" si="10"/>
        <v>0.70000000000000007</v>
      </c>
      <c r="Y51" s="1380">
        <f t="shared" si="13"/>
        <v>0</v>
      </c>
      <c r="Z51" s="1380"/>
      <c r="AA51" s="1380">
        <f t="shared" si="12"/>
        <v>0</v>
      </c>
    </row>
    <row r="52" spans="2:27" hidden="1">
      <c r="B52" s="1375">
        <v>44</v>
      </c>
      <c r="C52" s="1376">
        <v>44926</v>
      </c>
      <c r="D52" s="1069"/>
      <c r="E52" s="1069"/>
      <c r="F52" s="1377"/>
      <c r="G52" s="1377"/>
      <c r="H52" s="1377"/>
      <c r="I52" s="1377"/>
      <c r="J52" s="1377"/>
      <c r="K52" s="1385">
        <v>1.2</v>
      </c>
      <c r="L52" s="1383">
        <f t="shared" si="2"/>
        <v>1.2</v>
      </c>
      <c r="M52" s="1380"/>
      <c r="N52" s="1380"/>
      <c r="O52" s="1380">
        <f t="shared" si="11"/>
        <v>0</v>
      </c>
      <c r="P52" s="1069">
        <f t="shared" si="3"/>
        <v>0</v>
      </c>
      <c r="Q52" s="1069">
        <f t="shared" si="4"/>
        <v>0</v>
      </c>
      <c r="R52" s="1069">
        <f t="shared" si="5"/>
        <v>0</v>
      </c>
      <c r="S52" s="1069">
        <f t="shared" si="6"/>
        <v>0</v>
      </c>
      <c r="T52" s="1069">
        <f t="shared" si="7"/>
        <v>0</v>
      </c>
      <c r="U52" s="1069">
        <f t="shared" si="7"/>
        <v>0</v>
      </c>
      <c r="V52" s="1069">
        <f t="shared" si="8"/>
        <v>0</v>
      </c>
      <c r="W52" s="1386">
        <f t="shared" si="9"/>
        <v>0.85714285714285721</v>
      </c>
      <c r="X52" s="1383">
        <f t="shared" si="10"/>
        <v>0.85714285714285721</v>
      </c>
      <c r="Y52" s="1380">
        <f t="shared" si="13"/>
        <v>0</v>
      </c>
      <c r="Z52" s="1380"/>
      <c r="AA52" s="1380">
        <f t="shared" si="12"/>
        <v>0</v>
      </c>
    </row>
    <row r="53" spans="2:27" hidden="1">
      <c r="B53" s="1375">
        <v>45</v>
      </c>
      <c r="C53" s="1376">
        <v>44926</v>
      </c>
      <c r="D53" s="1069"/>
      <c r="E53" s="1069"/>
      <c r="F53" s="1377"/>
      <c r="G53" s="1377"/>
      <c r="H53" s="1377"/>
      <c r="I53" s="1377"/>
      <c r="J53" s="1377"/>
      <c r="K53" s="1385">
        <v>12.4</v>
      </c>
      <c r="L53" s="1383">
        <f t="shared" si="2"/>
        <v>12.4</v>
      </c>
      <c r="M53" s="1380"/>
      <c r="N53" s="1380"/>
      <c r="O53" s="1380">
        <f t="shared" si="11"/>
        <v>0</v>
      </c>
      <c r="P53" s="1069">
        <f t="shared" si="3"/>
        <v>0</v>
      </c>
      <c r="Q53" s="1069">
        <f t="shared" si="4"/>
        <v>0</v>
      </c>
      <c r="R53" s="1069">
        <f t="shared" si="5"/>
        <v>0</v>
      </c>
      <c r="S53" s="1069">
        <f t="shared" si="6"/>
        <v>0</v>
      </c>
      <c r="T53" s="1069">
        <f t="shared" si="7"/>
        <v>0</v>
      </c>
      <c r="U53" s="1069">
        <f t="shared" si="7"/>
        <v>0</v>
      </c>
      <c r="V53" s="1069">
        <f t="shared" si="8"/>
        <v>0</v>
      </c>
      <c r="W53" s="1386">
        <f t="shared" si="9"/>
        <v>8.8571428571428577</v>
      </c>
      <c r="X53" s="1383">
        <f t="shared" si="10"/>
        <v>8.8571428571428577</v>
      </c>
      <c r="Y53" s="1380">
        <f t="shared" si="13"/>
        <v>0</v>
      </c>
      <c r="Z53" s="1380"/>
      <c r="AA53" s="1380">
        <f t="shared" si="12"/>
        <v>0</v>
      </c>
    </row>
    <row r="54" spans="2:27" hidden="1">
      <c r="B54" s="1375">
        <v>46</v>
      </c>
      <c r="C54" s="1376">
        <v>44926</v>
      </c>
      <c r="D54" s="1069"/>
      <c r="E54" s="1069"/>
      <c r="F54" s="1377"/>
      <c r="G54" s="1377"/>
      <c r="H54" s="1377"/>
      <c r="I54" s="1377"/>
      <c r="J54" s="1377"/>
      <c r="K54" s="1385">
        <v>2.8</v>
      </c>
      <c r="L54" s="1383">
        <f t="shared" si="2"/>
        <v>2.8</v>
      </c>
      <c r="M54" s="1380"/>
      <c r="N54" s="1380"/>
      <c r="O54" s="1380">
        <f t="shared" si="11"/>
        <v>0</v>
      </c>
      <c r="P54" s="1069">
        <f t="shared" si="3"/>
        <v>0</v>
      </c>
      <c r="Q54" s="1069">
        <f t="shared" si="4"/>
        <v>0</v>
      </c>
      <c r="R54" s="1069">
        <f t="shared" si="5"/>
        <v>0</v>
      </c>
      <c r="S54" s="1069">
        <f t="shared" si="6"/>
        <v>0</v>
      </c>
      <c r="T54" s="1069">
        <f t="shared" si="7"/>
        <v>0</v>
      </c>
      <c r="U54" s="1069">
        <f t="shared" si="7"/>
        <v>0</v>
      </c>
      <c r="V54" s="1069">
        <f t="shared" si="8"/>
        <v>0</v>
      </c>
      <c r="W54" s="1386">
        <f t="shared" si="9"/>
        <v>2</v>
      </c>
      <c r="X54" s="1383">
        <f t="shared" si="10"/>
        <v>2</v>
      </c>
      <c r="Y54" s="1380">
        <f t="shared" si="13"/>
        <v>0</v>
      </c>
      <c r="Z54" s="1380"/>
      <c r="AA54" s="1380">
        <f t="shared" si="12"/>
        <v>0</v>
      </c>
    </row>
    <row r="55" spans="2:27" hidden="1">
      <c r="B55" s="1375">
        <v>47</v>
      </c>
      <c r="C55" s="1376">
        <v>44926</v>
      </c>
      <c r="D55" s="1069"/>
      <c r="E55" s="1069"/>
      <c r="F55" s="1377"/>
      <c r="G55" s="1377"/>
      <c r="H55" s="1377"/>
      <c r="I55" s="1377"/>
      <c r="J55" s="1377"/>
      <c r="K55" s="1385">
        <v>3.46</v>
      </c>
      <c r="L55" s="1383">
        <f t="shared" si="2"/>
        <v>3.46</v>
      </c>
      <c r="M55" s="1380"/>
      <c r="N55" s="1380"/>
      <c r="O55" s="1380">
        <f t="shared" si="11"/>
        <v>0</v>
      </c>
      <c r="P55" s="1069">
        <f t="shared" si="3"/>
        <v>0</v>
      </c>
      <c r="Q55" s="1069">
        <f t="shared" si="4"/>
        <v>0</v>
      </c>
      <c r="R55" s="1069">
        <f t="shared" si="5"/>
        <v>0</v>
      </c>
      <c r="S55" s="1069">
        <f t="shared" si="6"/>
        <v>0</v>
      </c>
      <c r="T55" s="1069">
        <f t="shared" si="7"/>
        <v>0</v>
      </c>
      <c r="U55" s="1069">
        <f t="shared" si="7"/>
        <v>0</v>
      </c>
      <c r="V55" s="1069">
        <f t="shared" si="8"/>
        <v>0</v>
      </c>
      <c r="W55" s="1386">
        <f t="shared" si="9"/>
        <v>2.4714285714285715</v>
      </c>
      <c r="X55" s="1383">
        <f t="shared" si="10"/>
        <v>2.4714285714285715</v>
      </c>
      <c r="Y55" s="1380">
        <f t="shared" si="13"/>
        <v>0</v>
      </c>
      <c r="Z55" s="1380"/>
      <c r="AA55" s="1380">
        <f t="shared" si="12"/>
        <v>0</v>
      </c>
    </row>
    <row r="56" spans="2:27" hidden="1">
      <c r="B56" s="1375">
        <v>48</v>
      </c>
      <c r="C56" s="1376">
        <v>44926</v>
      </c>
      <c r="D56" s="1069"/>
      <c r="E56" s="1069"/>
      <c r="F56" s="1377"/>
      <c r="G56" s="1377"/>
      <c r="H56" s="1377"/>
      <c r="I56" s="1377"/>
      <c r="J56" s="1377"/>
      <c r="K56" s="1385">
        <v>3.7</v>
      </c>
      <c r="L56" s="1383">
        <f t="shared" si="2"/>
        <v>3.7</v>
      </c>
      <c r="M56" s="1380"/>
      <c r="N56" s="1380"/>
      <c r="O56" s="1380">
        <f t="shared" si="11"/>
        <v>0</v>
      </c>
      <c r="P56" s="1069">
        <f t="shared" si="3"/>
        <v>0</v>
      </c>
      <c r="Q56" s="1069">
        <f t="shared" si="4"/>
        <v>0</v>
      </c>
      <c r="R56" s="1069">
        <f t="shared" si="5"/>
        <v>0</v>
      </c>
      <c r="S56" s="1069">
        <f t="shared" si="6"/>
        <v>0</v>
      </c>
      <c r="T56" s="1069">
        <f t="shared" si="7"/>
        <v>0</v>
      </c>
      <c r="U56" s="1069">
        <f t="shared" si="7"/>
        <v>0</v>
      </c>
      <c r="V56" s="1069">
        <f t="shared" si="8"/>
        <v>0</v>
      </c>
      <c r="W56" s="1386">
        <f t="shared" si="9"/>
        <v>2.6428571428571432</v>
      </c>
      <c r="X56" s="1383">
        <f t="shared" si="10"/>
        <v>2.6428571428571432</v>
      </c>
      <c r="Y56" s="1380">
        <f t="shared" si="13"/>
        <v>0</v>
      </c>
      <c r="Z56" s="1380"/>
      <c r="AA56" s="1380">
        <f t="shared" si="12"/>
        <v>0</v>
      </c>
    </row>
    <row r="57" spans="2:27" hidden="1">
      <c r="B57" s="1375">
        <v>49</v>
      </c>
      <c r="C57" s="1376">
        <v>44926</v>
      </c>
      <c r="D57" s="1069"/>
      <c r="E57" s="1069"/>
      <c r="F57" s="1377"/>
      <c r="G57" s="1377"/>
      <c r="H57" s="1377"/>
      <c r="I57" s="1377"/>
      <c r="J57" s="1377"/>
      <c r="K57" s="1385">
        <v>0.86</v>
      </c>
      <c r="L57" s="1383">
        <f t="shared" si="2"/>
        <v>0.86</v>
      </c>
      <c r="M57" s="1380"/>
      <c r="N57" s="1380"/>
      <c r="O57" s="1380">
        <f t="shared" si="11"/>
        <v>0</v>
      </c>
      <c r="P57" s="1069">
        <f t="shared" si="3"/>
        <v>0</v>
      </c>
      <c r="Q57" s="1069">
        <f t="shared" si="4"/>
        <v>0</v>
      </c>
      <c r="R57" s="1069">
        <f t="shared" si="5"/>
        <v>0</v>
      </c>
      <c r="S57" s="1069">
        <f t="shared" si="6"/>
        <v>0</v>
      </c>
      <c r="T57" s="1069">
        <f t="shared" si="7"/>
        <v>0</v>
      </c>
      <c r="U57" s="1069">
        <f t="shared" si="7"/>
        <v>0</v>
      </c>
      <c r="V57" s="1069">
        <f t="shared" si="8"/>
        <v>0</v>
      </c>
      <c r="W57" s="1386">
        <f t="shared" si="9"/>
        <v>0.61428571428571432</v>
      </c>
      <c r="X57" s="1383">
        <f t="shared" si="10"/>
        <v>0.61428571428571432</v>
      </c>
      <c r="Y57" s="1380">
        <f t="shared" si="13"/>
        <v>0</v>
      </c>
      <c r="Z57" s="1380"/>
      <c r="AA57" s="1380">
        <f t="shared" si="12"/>
        <v>0</v>
      </c>
    </row>
    <row r="58" spans="2:27" hidden="1">
      <c r="B58" s="1375">
        <v>50</v>
      </c>
      <c r="C58" s="1376">
        <v>44926</v>
      </c>
      <c r="D58" s="1069"/>
      <c r="E58" s="1069"/>
      <c r="F58" s="1377"/>
      <c r="G58" s="1377"/>
      <c r="H58" s="1377"/>
      <c r="I58" s="1377"/>
      <c r="J58" s="1377"/>
      <c r="K58" s="1385">
        <v>4.5999999999999996</v>
      </c>
      <c r="L58" s="1383">
        <f t="shared" si="2"/>
        <v>4.5999999999999996</v>
      </c>
      <c r="M58" s="1380"/>
      <c r="N58" s="1380"/>
      <c r="O58" s="1380">
        <f t="shared" si="11"/>
        <v>0</v>
      </c>
      <c r="P58" s="1069">
        <f t="shared" si="3"/>
        <v>0</v>
      </c>
      <c r="Q58" s="1069">
        <f t="shared" si="4"/>
        <v>0</v>
      </c>
      <c r="R58" s="1069">
        <f t="shared" si="5"/>
        <v>0</v>
      </c>
      <c r="S58" s="1069">
        <f t="shared" si="6"/>
        <v>0</v>
      </c>
      <c r="T58" s="1069">
        <f t="shared" si="7"/>
        <v>0</v>
      </c>
      <c r="U58" s="1069">
        <f t="shared" si="7"/>
        <v>0</v>
      </c>
      <c r="V58" s="1069">
        <f t="shared" si="8"/>
        <v>0</v>
      </c>
      <c r="W58" s="1386">
        <f t="shared" si="9"/>
        <v>3.2857142857142856</v>
      </c>
      <c r="X58" s="1383">
        <f t="shared" si="10"/>
        <v>3.2857142857142856</v>
      </c>
      <c r="Y58" s="1380">
        <f t="shared" si="13"/>
        <v>0</v>
      </c>
      <c r="Z58" s="1380"/>
      <c r="AA58" s="1380">
        <f t="shared" si="12"/>
        <v>0</v>
      </c>
    </row>
    <row r="59" spans="2:27" hidden="1">
      <c r="B59" s="1375">
        <v>51</v>
      </c>
      <c r="C59" s="1376">
        <v>44926</v>
      </c>
      <c r="D59" s="1069"/>
      <c r="E59" s="1069"/>
      <c r="F59" s="1377"/>
      <c r="G59" s="1377"/>
      <c r="H59" s="1377"/>
      <c r="I59" s="1377"/>
      <c r="J59" s="1377"/>
      <c r="K59" s="1385">
        <v>3.16</v>
      </c>
      <c r="L59" s="1383">
        <f t="shared" si="2"/>
        <v>3.16</v>
      </c>
      <c r="M59" s="1380"/>
      <c r="N59" s="1380"/>
      <c r="O59" s="1380">
        <f t="shared" si="11"/>
        <v>0</v>
      </c>
      <c r="P59" s="1069">
        <f t="shared" si="3"/>
        <v>0</v>
      </c>
      <c r="Q59" s="1069">
        <f t="shared" si="4"/>
        <v>0</v>
      </c>
      <c r="R59" s="1069">
        <f t="shared" si="5"/>
        <v>0</v>
      </c>
      <c r="S59" s="1069">
        <f t="shared" si="6"/>
        <v>0</v>
      </c>
      <c r="T59" s="1069">
        <f t="shared" si="7"/>
        <v>0</v>
      </c>
      <c r="U59" s="1069">
        <f t="shared" si="7"/>
        <v>0</v>
      </c>
      <c r="V59" s="1069">
        <f t="shared" si="8"/>
        <v>0</v>
      </c>
      <c r="W59" s="1386">
        <f t="shared" si="9"/>
        <v>2.2571428571428576</v>
      </c>
      <c r="X59" s="1383">
        <f t="shared" si="10"/>
        <v>2.2571428571428576</v>
      </c>
      <c r="Y59" s="1380">
        <f t="shared" si="13"/>
        <v>0</v>
      </c>
      <c r="Z59" s="1380"/>
      <c r="AA59" s="1380">
        <f t="shared" si="12"/>
        <v>0</v>
      </c>
    </row>
    <row r="60" spans="2:27" hidden="1">
      <c r="B60" s="1375">
        <v>52</v>
      </c>
      <c r="C60" s="1376">
        <v>44926</v>
      </c>
      <c r="D60" s="1069"/>
      <c r="E60" s="1069"/>
      <c r="F60" s="1377"/>
      <c r="G60" s="1377"/>
      <c r="H60" s="1377"/>
      <c r="I60" s="1377"/>
      <c r="J60" s="1377"/>
      <c r="K60" s="1385">
        <v>3.12</v>
      </c>
      <c r="L60" s="1383">
        <f t="shared" si="2"/>
        <v>3.12</v>
      </c>
      <c r="M60" s="1380"/>
      <c r="N60" s="1380"/>
      <c r="O60" s="1380">
        <f t="shared" si="11"/>
        <v>0</v>
      </c>
      <c r="P60" s="1069">
        <f t="shared" si="3"/>
        <v>0</v>
      </c>
      <c r="Q60" s="1069">
        <f t="shared" si="4"/>
        <v>0</v>
      </c>
      <c r="R60" s="1069">
        <f t="shared" si="5"/>
        <v>0</v>
      </c>
      <c r="S60" s="1069">
        <f t="shared" si="6"/>
        <v>0</v>
      </c>
      <c r="T60" s="1069">
        <f t="shared" si="7"/>
        <v>0</v>
      </c>
      <c r="U60" s="1069">
        <f t="shared" si="7"/>
        <v>0</v>
      </c>
      <c r="V60" s="1069">
        <f t="shared" si="8"/>
        <v>0</v>
      </c>
      <c r="W60" s="1386">
        <f t="shared" si="9"/>
        <v>2.2285714285714286</v>
      </c>
      <c r="X60" s="1383">
        <f t="shared" si="10"/>
        <v>2.2285714285714286</v>
      </c>
      <c r="Y60" s="1380">
        <f t="shared" si="13"/>
        <v>0</v>
      </c>
      <c r="Z60" s="1380"/>
      <c r="AA60" s="1380">
        <f t="shared" si="12"/>
        <v>0</v>
      </c>
    </row>
    <row r="61" spans="2:27" hidden="1">
      <c r="B61" s="1375">
        <v>53</v>
      </c>
      <c r="C61" s="1376">
        <v>44926</v>
      </c>
      <c r="D61" s="1069"/>
      <c r="E61" s="1069"/>
      <c r="F61" s="1377"/>
      <c r="G61" s="1377"/>
      <c r="H61" s="1377"/>
      <c r="I61" s="1377"/>
      <c r="J61" s="1377"/>
      <c r="K61" s="1385">
        <v>2.82</v>
      </c>
      <c r="L61" s="1383">
        <f t="shared" si="2"/>
        <v>2.82</v>
      </c>
      <c r="M61" s="1380"/>
      <c r="N61" s="1380"/>
      <c r="O61" s="1380">
        <f t="shared" si="11"/>
        <v>0</v>
      </c>
      <c r="P61" s="1069">
        <f t="shared" si="3"/>
        <v>0</v>
      </c>
      <c r="Q61" s="1069">
        <f t="shared" si="4"/>
        <v>0</v>
      </c>
      <c r="R61" s="1069">
        <f t="shared" si="5"/>
        <v>0</v>
      </c>
      <c r="S61" s="1069">
        <f t="shared" si="6"/>
        <v>0</v>
      </c>
      <c r="T61" s="1069">
        <f t="shared" si="7"/>
        <v>0</v>
      </c>
      <c r="U61" s="1069">
        <f t="shared" si="7"/>
        <v>0</v>
      </c>
      <c r="V61" s="1069">
        <f t="shared" si="8"/>
        <v>0</v>
      </c>
      <c r="W61" s="1386">
        <f t="shared" si="9"/>
        <v>2.0142857142857142</v>
      </c>
      <c r="X61" s="1383">
        <f t="shared" si="10"/>
        <v>2.0142857142857142</v>
      </c>
      <c r="Y61" s="1380">
        <f t="shared" si="13"/>
        <v>0</v>
      </c>
      <c r="Z61" s="1380"/>
      <c r="AA61" s="1380">
        <f t="shared" si="12"/>
        <v>0</v>
      </c>
    </row>
    <row r="62" spans="2:27" hidden="1">
      <c r="B62" s="1375">
        <v>54</v>
      </c>
      <c r="C62" s="1376">
        <v>44926</v>
      </c>
      <c r="D62" s="1069"/>
      <c r="E62" s="1069"/>
      <c r="F62" s="1377"/>
      <c r="G62" s="1377"/>
      <c r="H62" s="1377"/>
      <c r="I62" s="1377"/>
      <c r="J62" s="1377"/>
      <c r="K62" s="1385">
        <v>2.08</v>
      </c>
      <c r="L62" s="1383">
        <f t="shared" si="2"/>
        <v>2.08</v>
      </c>
      <c r="M62" s="1380"/>
      <c r="N62" s="1380"/>
      <c r="O62" s="1380">
        <f t="shared" si="11"/>
        <v>0</v>
      </c>
      <c r="P62" s="1069">
        <f t="shared" si="3"/>
        <v>0</v>
      </c>
      <c r="Q62" s="1069">
        <f t="shared" si="4"/>
        <v>0</v>
      </c>
      <c r="R62" s="1069">
        <f t="shared" si="5"/>
        <v>0</v>
      </c>
      <c r="S62" s="1069">
        <f t="shared" si="6"/>
        <v>0</v>
      </c>
      <c r="T62" s="1069">
        <f t="shared" si="7"/>
        <v>0</v>
      </c>
      <c r="U62" s="1069">
        <f t="shared" si="7"/>
        <v>0</v>
      </c>
      <c r="V62" s="1069">
        <f t="shared" si="8"/>
        <v>0</v>
      </c>
      <c r="W62" s="1386">
        <f t="shared" si="9"/>
        <v>1.4857142857142858</v>
      </c>
      <c r="X62" s="1383">
        <f t="shared" si="10"/>
        <v>1.4857142857142858</v>
      </c>
      <c r="Y62" s="1380">
        <f t="shared" si="13"/>
        <v>0</v>
      </c>
      <c r="Z62" s="1380"/>
      <c r="AA62" s="1380">
        <f t="shared" si="12"/>
        <v>0</v>
      </c>
    </row>
    <row r="63" spans="2:27" hidden="1">
      <c r="B63" s="1375">
        <v>55</v>
      </c>
      <c r="C63" s="1376">
        <v>44926</v>
      </c>
      <c r="D63" s="1069"/>
      <c r="E63" s="1069"/>
      <c r="F63" s="1377"/>
      <c r="G63" s="1377"/>
      <c r="H63" s="1377"/>
      <c r="I63" s="1377"/>
      <c r="J63" s="1377"/>
      <c r="K63" s="1385">
        <v>1.08</v>
      </c>
      <c r="L63" s="1383">
        <f t="shared" si="2"/>
        <v>1.08</v>
      </c>
      <c r="M63" s="1380"/>
      <c r="N63" s="1380"/>
      <c r="O63" s="1380">
        <f t="shared" si="11"/>
        <v>0</v>
      </c>
      <c r="P63" s="1069">
        <f t="shared" si="3"/>
        <v>0</v>
      </c>
      <c r="Q63" s="1069">
        <f t="shared" si="4"/>
        <v>0</v>
      </c>
      <c r="R63" s="1069">
        <f t="shared" si="5"/>
        <v>0</v>
      </c>
      <c r="S63" s="1069">
        <f t="shared" si="6"/>
        <v>0</v>
      </c>
      <c r="T63" s="1069">
        <f t="shared" si="7"/>
        <v>0</v>
      </c>
      <c r="U63" s="1069">
        <f t="shared" si="7"/>
        <v>0</v>
      </c>
      <c r="V63" s="1069">
        <f t="shared" si="8"/>
        <v>0</v>
      </c>
      <c r="W63" s="1386">
        <f t="shared" si="9"/>
        <v>0.77142857142857157</v>
      </c>
      <c r="X63" s="1383">
        <f t="shared" si="10"/>
        <v>0.77142857142857157</v>
      </c>
      <c r="Y63" s="1380">
        <f t="shared" si="13"/>
        <v>0</v>
      </c>
      <c r="Z63" s="1380"/>
      <c r="AA63" s="1380">
        <f t="shared" si="12"/>
        <v>0</v>
      </c>
    </row>
    <row r="64" spans="2:27" hidden="1">
      <c r="B64" s="1375">
        <v>56</v>
      </c>
      <c r="C64" s="1376">
        <v>44926</v>
      </c>
      <c r="D64" s="1069"/>
      <c r="E64" s="1069"/>
      <c r="F64" s="1377"/>
      <c r="G64" s="1377"/>
      <c r="H64" s="1377"/>
      <c r="I64" s="1377"/>
      <c r="J64" s="1377"/>
      <c r="K64" s="1385">
        <v>5.6</v>
      </c>
      <c r="L64" s="1383">
        <f t="shared" si="2"/>
        <v>5.6</v>
      </c>
      <c r="M64" s="1380"/>
      <c r="N64" s="1380"/>
      <c r="O64" s="1380">
        <f t="shared" si="11"/>
        <v>0</v>
      </c>
      <c r="P64" s="1069">
        <f t="shared" si="3"/>
        <v>0</v>
      </c>
      <c r="Q64" s="1069">
        <f t="shared" si="4"/>
        <v>0</v>
      </c>
      <c r="R64" s="1069">
        <f t="shared" si="5"/>
        <v>0</v>
      </c>
      <c r="S64" s="1069">
        <f t="shared" si="6"/>
        <v>0</v>
      </c>
      <c r="T64" s="1069">
        <f t="shared" si="7"/>
        <v>0</v>
      </c>
      <c r="U64" s="1069">
        <f t="shared" si="7"/>
        <v>0</v>
      </c>
      <c r="V64" s="1069">
        <f t="shared" si="8"/>
        <v>0</v>
      </c>
      <c r="W64" s="1386">
        <f t="shared" si="9"/>
        <v>4</v>
      </c>
      <c r="X64" s="1383">
        <f t="shared" si="10"/>
        <v>4</v>
      </c>
      <c r="Y64" s="1380">
        <f t="shared" si="13"/>
        <v>0</v>
      </c>
      <c r="Z64" s="1380"/>
      <c r="AA64" s="1380">
        <f t="shared" si="12"/>
        <v>0</v>
      </c>
    </row>
    <row r="65" spans="2:27" hidden="1">
      <c r="B65" s="1375">
        <v>57</v>
      </c>
      <c r="C65" s="1376">
        <v>44926</v>
      </c>
      <c r="D65" s="1069"/>
      <c r="E65" s="1069"/>
      <c r="F65" s="1377"/>
      <c r="G65" s="1377"/>
      <c r="H65" s="1377"/>
      <c r="I65" s="1377"/>
      <c r="J65" s="1377"/>
      <c r="K65" s="1385">
        <v>0.68</v>
      </c>
      <c r="L65" s="1383">
        <f t="shared" si="2"/>
        <v>0.68</v>
      </c>
      <c r="M65" s="1380"/>
      <c r="N65" s="1380"/>
      <c r="O65" s="1380">
        <f t="shared" si="11"/>
        <v>0</v>
      </c>
      <c r="P65" s="1069">
        <f t="shared" si="3"/>
        <v>0</v>
      </c>
      <c r="Q65" s="1069">
        <f t="shared" si="4"/>
        <v>0</v>
      </c>
      <c r="R65" s="1069">
        <f t="shared" si="5"/>
        <v>0</v>
      </c>
      <c r="S65" s="1069">
        <f t="shared" si="6"/>
        <v>0</v>
      </c>
      <c r="T65" s="1069">
        <f t="shared" si="7"/>
        <v>0</v>
      </c>
      <c r="U65" s="1069">
        <f t="shared" si="7"/>
        <v>0</v>
      </c>
      <c r="V65" s="1069">
        <f t="shared" si="8"/>
        <v>0</v>
      </c>
      <c r="W65" s="1386">
        <f t="shared" si="9"/>
        <v>0.48571428571428577</v>
      </c>
      <c r="X65" s="1383">
        <f t="shared" si="10"/>
        <v>0.48571428571428577</v>
      </c>
      <c r="Y65" s="1380">
        <f t="shared" si="13"/>
        <v>0</v>
      </c>
      <c r="Z65" s="1380"/>
      <c r="AA65" s="1380">
        <f t="shared" si="12"/>
        <v>0</v>
      </c>
    </row>
    <row r="66" spans="2:27" hidden="1">
      <c r="B66" s="1375">
        <v>58</v>
      </c>
      <c r="C66" s="1376">
        <v>44926</v>
      </c>
      <c r="D66" s="1069"/>
      <c r="E66" s="1069"/>
      <c r="F66" s="1377"/>
      <c r="G66" s="1377"/>
      <c r="H66" s="1377"/>
      <c r="I66" s="1377"/>
      <c r="J66" s="1377"/>
      <c r="K66" s="1385">
        <v>3.16</v>
      </c>
      <c r="L66" s="1383">
        <f t="shared" si="2"/>
        <v>3.16</v>
      </c>
      <c r="M66" s="1380"/>
      <c r="N66" s="1380"/>
      <c r="O66" s="1380">
        <f t="shared" si="11"/>
        <v>0</v>
      </c>
      <c r="P66" s="1069">
        <f t="shared" si="3"/>
        <v>0</v>
      </c>
      <c r="Q66" s="1069">
        <f t="shared" si="4"/>
        <v>0</v>
      </c>
      <c r="R66" s="1069">
        <f t="shared" si="5"/>
        <v>0</v>
      </c>
      <c r="S66" s="1069">
        <f t="shared" si="6"/>
        <v>0</v>
      </c>
      <c r="T66" s="1069">
        <f t="shared" si="7"/>
        <v>0</v>
      </c>
      <c r="U66" s="1069">
        <f t="shared" si="7"/>
        <v>0</v>
      </c>
      <c r="V66" s="1069">
        <f t="shared" si="8"/>
        <v>0</v>
      </c>
      <c r="W66" s="1386">
        <f t="shared" si="9"/>
        <v>2.2571428571428576</v>
      </c>
      <c r="X66" s="1383">
        <f t="shared" si="10"/>
        <v>2.2571428571428576</v>
      </c>
      <c r="Y66" s="1380">
        <f t="shared" si="13"/>
        <v>0</v>
      </c>
      <c r="Z66" s="1380"/>
      <c r="AA66" s="1380">
        <f t="shared" si="12"/>
        <v>0</v>
      </c>
    </row>
    <row r="67" spans="2:27" hidden="1">
      <c r="B67" s="1375">
        <v>59</v>
      </c>
      <c r="C67" s="1376">
        <v>44926</v>
      </c>
      <c r="D67" s="1069"/>
      <c r="E67" s="1069"/>
      <c r="F67" s="1377"/>
      <c r="G67" s="1377"/>
      <c r="H67" s="1377"/>
      <c r="I67" s="1377"/>
      <c r="J67" s="1377"/>
      <c r="K67" s="1385">
        <v>4.28</v>
      </c>
      <c r="L67" s="1383">
        <f t="shared" si="2"/>
        <v>4.28</v>
      </c>
      <c r="M67" s="1380"/>
      <c r="N67" s="1380"/>
      <c r="O67" s="1380">
        <f t="shared" si="11"/>
        <v>0</v>
      </c>
      <c r="P67" s="1069">
        <f t="shared" si="3"/>
        <v>0</v>
      </c>
      <c r="Q67" s="1069">
        <f t="shared" si="4"/>
        <v>0</v>
      </c>
      <c r="R67" s="1069">
        <f t="shared" si="5"/>
        <v>0</v>
      </c>
      <c r="S67" s="1069">
        <f t="shared" si="6"/>
        <v>0</v>
      </c>
      <c r="T67" s="1069">
        <f t="shared" si="7"/>
        <v>0</v>
      </c>
      <c r="U67" s="1069">
        <f t="shared" si="7"/>
        <v>0</v>
      </c>
      <c r="V67" s="1069">
        <f t="shared" si="8"/>
        <v>0</v>
      </c>
      <c r="W67" s="1386">
        <f t="shared" si="9"/>
        <v>3.0571428571428574</v>
      </c>
      <c r="X67" s="1383">
        <f t="shared" si="10"/>
        <v>3.0571428571428574</v>
      </c>
      <c r="Y67" s="1380">
        <f t="shared" si="13"/>
        <v>0</v>
      </c>
      <c r="Z67" s="1380"/>
      <c r="AA67" s="1380">
        <f t="shared" si="12"/>
        <v>0</v>
      </c>
    </row>
    <row r="68" spans="2:27" hidden="1">
      <c r="B68" s="1375">
        <v>60</v>
      </c>
      <c r="C68" s="1376">
        <v>44926</v>
      </c>
      <c r="D68" s="1069"/>
      <c r="E68" s="1069"/>
      <c r="F68" s="1377"/>
      <c r="G68" s="1377"/>
      <c r="H68" s="1377"/>
      <c r="I68" s="1377"/>
      <c r="J68" s="1377"/>
      <c r="K68" s="1385">
        <v>0.76</v>
      </c>
      <c r="L68" s="1383">
        <f t="shared" si="2"/>
        <v>0.76</v>
      </c>
      <c r="M68" s="1380"/>
      <c r="N68" s="1380"/>
      <c r="O68" s="1380">
        <f t="shared" si="11"/>
        <v>0</v>
      </c>
      <c r="P68" s="1069">
        <f t="shared" si="3"/>
        <v>0</v>
      </c>
      <c r="Q68" s="1069">
        <f t="shared" si="4"/>
        <v>0</v>
      </c>
      <c r="R68" s="1069">
        <f t="shared" si="5"/>
        <v>0</v>
      </c>
      <c r="S68" s="1069">
        <f t="shared" si="6"/>
        <v>0</v>
      </c>
      <c r="T68" s="1069">
        <f t="shared" si="7"/>
        <v>0</v>
      </c>
      <c r="U68" s="1069">
        <f t="shared" si="7"/>
        <v>0</v>
      </c>
      <c r="V68" s="1069">
        <f t="shared" si="8"/>
        <v>0</v>
      </c>
      <c r="W68" s="1386">
        <f t="shared" si="9"/>
        <v>0.54285714285714293</v>
      </c>
      <c r="X68" s="1383">
        <f t="shared" si="10"/>
        <v>0.54285714285714293</v>
      </c>
      <c r="Y68" s="1380">
        <f t="shared" si="13"/>
        <v>0</v>
      </c>
      <c r="Z68" s="1380"/>
      <c r="AA68" s="1380">
        <f t="shared" si="12"/>
        <v>0</v>
      </c>
    </row>
    <row r="69" spans="2:27" hidden="1">
      <c r="B69" s="1375">
        <v>61</v>
      </c>
      <c r="C69" s="1376">
        <v>44926</v>
      </c>
      <c r="D69" s="1069"/>
      <c r="E69" s="1069"/>
      <c r="F69" s="1377"/>
      <c r="G69" s="1377"/>
      <c r="H69" s="1377"/>
      <c r="I69" s="1377"/>
      <c r="J69" s="1377"/>
      <c r="K69" s="1385">
        <v>4.4400000000000004</v>
      </c>
      <c r="L69" s="1383">
        <f t="shared" si="2"/>
        <v>4.4400000000000004</v>
      </c>
      <c r="M69" s="1380"/>
      <c r="N69" s="1380"/>
      <c r="O69" s="1380">
        <f t="shared" si="11"/>
        <v>0</v>
      </c>
      <c r="P69" s="1069">
        <f t="shared" si="3"/>
        <v>0</v>
      </c>
      <c r="Q69" s="1069">
        <f t="shared" si="4"/>
        <v>0</v>
      </c>
      <c r="R69" s="1069">
        <f t="shared" si="5"/>
        <v>0</v>
      </c>
      <c r="S69" s="1069">
        <f t="shared" si="6"/>
        <v>0</v>
      </c>
      <c r="T69" s="1069">
        <f t="shared" si="7"/>
        <v>0</v>
      </c>
      <c r="U69" s="1069">
        <f t="shared" si="7"/>
        <v>0</v>
      </c>
      <c r="V69" s="1069">
        <f t="shared" si="8"/>
        <v>0</v>
      </c>
      <c r="W69" s="1386">
        <f t="shared" si="9"/>
        <v>3.1714285714285717</v>
      </c>
      <c r="X69" s="1383">
        <f t="shared" si="10"/>
        <v>3.1714285714285717</v>
      </c>
      <c r="Y69" s="1380">
        <f t="shared" si="13"/>
        <v>0</v>
      </c>
      <c r="Z69" s="1380"/>
      <c r="AA69" s="1380">
        <f t="shared" si="12"/>
        <v>0</v>
      </c>
    </row>
    <row r="70" spans="2:27" hidden="1">
      <c r="B70" s="1375">
        <v>62</v>
      </c>
      <c r="C70" s="1376">
        <v>44926</v>
      </c>
      <c r="D70" s="1069"/>
      <c r="E70" s="1069"/>
      <c r="F70" s="1377"/>
      <c r="G70" s="1377"/>
      <c r="H70" s="1377"/>
      <c r="I70" s="1377"/>
      <c r="J70" s="1377"/>
      <c r="K70" s="1385">
        <v>0.84</v>
      </c>
      <c r="L70" s="1383">
        <f t="shared" si="2"/>
        <v>0.84</v>
      </c>
      <c r="M70" s="1380"/>
      <c r="N70" s="1380"/>
      <c r="O70" s="1380">
        <f t="shared" si="11"/>
        <v>0</v>
      </c>
      <c r="P70" s="1069">
        <f t="shared" si="3"/>
        <v>0</v>
      </c>
      <c r="Q70" s="1069">
        <f t="shared" si="4"/>
        <v>0</v>
      </c>
      <c r="R70" s="1069">
        <f t="shared" si="5"/>
        <v>0</v>
      </c>
      <c r="S70" s="1069">
        <f t="shared" si="6"/>
        <v>0</v>
      </c>
      <c r="T70" s="1069">
        <f t="shared" si="7"/>
        <v>0</v>
      </c>
      <c r="U70" s="1069">
        <f t="shared" si="7"/>
        <v>0</v>
      </c>
      <c r="V70" s="1069">
        <f t="shared" si="8"/>
        <v>0</v>
      </c>
      <c r="W70" s="1386">
        <f t="shared" si="9"/>
        <v>0.6</v>
      </c>
      <c r="X70" s="1383">
        <f t="shared" si="10"/>
        <v>0.6</v>
      </c>
      <c r="Y70" s="1380">
        <f t="shared" si="13"/>
        <v>0</v>
      </c>
      <c r="Z70" s="1380"/>
      <c r="AA70" s="1380">
        <f t="shared" si="12"/>
        <v>0</v>
      </c>
    </row>
    <row r="71" spans="2:27" hidden="1">
      <c r="B71" s="1375">
        <v>63</v>
      </c>
      <c r="C71" s="1376">
        <v>44926</v>
      </c>
      <c r="D71" s="1069"/>
      <c r="E71" s="1069"/>
      <c r="F71" s="1377"/>
      <c r="G71" s="1377"/>
      <c r="H71" s="1377"/>
      <c r="I71" s="1377"/>
      <c r="J71" s="1377"/>
      <c r="K71" s="1385">
        <v>22.12</v>
      </c>
      <c r="L71" s="1383">
        <f t="shared" si="2"/>
        <v>22.12</v>
      </c>
      <c r="M71" s="1380"/>
      <c r="N71" s="1380"/>
      <c r="O71" s="1380">
        <f t="shared" si="11"/>
        <v>0</v>
      </c>
      <c r="P71" s="1069">
        <f t="shared" si="3"/>
        <v>0</v>
      </c>
      <c r="Q71" s="1069">
        <f t="shared" si="4"/>
        <v>0</v>
      </c>
      <c r="R71" s="1069">
        <f t="shared" si="5"/>
        <v>0</v>
      </c>
      <c r="S71" s="1069">
        <f t="shared" si="6"/>
        <v>0</v>
      </c>
      <c r="T71" s="1069">
        <f t="shared" si="7"/>
        <v>0</v>
      </c>
      <c r="U71" s="1069">
        <f t="shared" si="7"/>
        <v>0</v>
      </c>
      <c r="V71" s="1069">
        <f t="shared" si="8"/>
        <v>0</v>
      </c>
      <c r="W71" s="1386">
        <f t="shared" si="9"/>
        <v>15.800000000000002</v>
      </c>
      <c r="X71" s="1383">
        <f t="shared" si="10"/>
        <v>15.800000000000002</v>
      </c>
      <c r="Y71" s="1380">
        <f t="shared" si="13"/>
        <v>0</v>
      </c>
      <c r="Z71" s="1380"/>
      <c r="AA71" s="1380">
        <f t="shared" si="12"/>
        <v>0</v>
      </c>
    </row>
    <row r="72" spans="2:27" hidden="1">
      <c r="B72" s="1375">
        <v>64</v>
      </c>
      <c r="C72" s="1376">
        <v>44926</v>
      </c>
      <c r="D72" s="1069"/>
      <c r="E72" s="1069"/>
      <c r="F72" s="1377"/>
      <c r="G72" s="1377"/>
      <c r="H72" s="1377"/>
      <c r="I72" s="1377"/>
      <c r="J72" s="1377"/>
      <c r="K72" s="1385">
        <v>0.66</v>
      </c>
      <c r="L72" s="1383">
        <f t="shared" si="2"/>
        <v>0.66</v>
      </c>
      <c r="M72" s="1380"/>
      <c r="N72" s="1380"/>
      <c r="O72" s="1380">
        <f t="shared" si="11"/>
        <v>0</v>
      </c>
      <c r="P72" s="1069">
        <f t="shared" si="3"/>
        <v>0</v>
      </c>
      <c r="Q72" s="1069">
        <f t="shared" si="4"/>
        <v>0</v>
      </c>
      <c r="R72" s="1069">
        <f t="shared" si="5"/>
        <v>0</v>
      </c>
      <c r="S72" s="1069">
        <f t="shared" si="6"/>
        <v>0</v>
      </c>
      <c r="T72" s="1069">
        <f t="shared" si="7"/>
        <v>0</v>
      </c>
      <c r="U72" s="1069">
        <f t="shared" si="7"/>
        <v>0</v>
      </c>
      <c r="V72" s="1069">
        <f t="shared" si="8"/>
        <v>0</v>
      </c>
      <c r="W72" s="1386">
        <f t="shared" si="9"/>
        <v>0.47142857142857147</v>
      </c>
      <c r="X72" s="1383">
        <f t="shared" si="10"/>
        <v>0.47142857142857147</v>
      </c>
      <c r="Y72" s="1380">
        <f t="shared" si="13"/>
        <v>0</v>
      </c>
      <c r="Z72" s="1380"/>
      <c r="AA72" s="1380">
        <f t="shared" si="12"/>
        <v>0</v>
      </c>
    </row>
    <row r="73" spans="2:27" hidden="1">
      <c r="B73" s="1375">
        <v>65</v>
      </c>
      <c r="C73" s="1376">
        <v>44926</v>
      </c>
      <c r="D73" s="1069"/>
      <c r="E73" s="1069"/>
      <c r="F73" s="1377"/>
      <c r="G73" s="1377"/>
      <c r="H73" s="1377"/>
      <c r="I73" s="1377"/>
      <c r="J73" s="1377"/>
      <c r="K73" s="1385">
        <v>1.1200000000000001</v>
      </c>
      <c r="L73" s="1383">
        <f t="shared" ref="L73:L136" si="14">SUM(D73:K73)</f>
        <v>1.1200000000000001</v>
      </c>
      <c r="M73" s="1380"/>
      <c r="N73" s="1380"/>
      <c r="O73" s="1380">
        <f t="shared" si="11"/>
        <v>0</v>
      </c>
      <c r="P73" s="1069">
        <f t="shared" ref="P73:P136" si="15">(D73/$P$6)</f>
        <v>0</v>
      </c>
      <c r="Q73" s="1069">
        <f t="shared" ref="Q73:Q136" si="16">(E73/$P$6)</f>
        <v>0</v>
      </c>
      <c r="R73" s="1069">
        <f t="shared" ref="R73:R136" si="17">(F73/$P$6)</f>
        <v>0</v>
      </c>
      <c r="S73" s="1069">
        <f t="shared" ref="S73:S136" si="18">(G73/$P$6)</f>
        <v>0</v>
      </c>
      <c r="T73" s="1069">
        <f t="shared" ref="T73:U136" si="19">(H73/$P$6)</f>
        <v>0</v>
      </c>
      <c r="U73" s="1069">
        <f t="shared" si="19"/>
        <v>0</v>
      </c>
      <c r="V73" s="1069">
        <f t="shared" ref="V73:V136" si="20">(J73/$P$6)</f>
        <v>0</v>
      </c>
      <c r="W73" s="1386">
        <f t="shared" ref="W73:W136" si="21">(K73/$P$6)</f>
        <v>0.80000000000000016</v>
      </c>
      <c r="X73" s="1383">
        <f t="shared" ref="X73:X136" si="22">SUM(P73:W73)</f>
        <v>0.80000000000000016</v>
      </c>
      <c r="Y73" s="1380">
        <f t="shared" ref="Y73:Y136" si="23">(M73*$P$6)</f>
        <v>0</v>
      </c>
      <c r="Z73" s="1380"/>
      <c r="AA73" s="1380">
        <f t="shared" si="12"/>
        <v>0</v>
      </c>
    </row>
    <row r="74" spans="2:27" hidden="1">
      <c r="B74" s="1375">
        <v>66</v>
      </c>
      <c r="C74" s="1376">
        <v>44926</v>
      </c>
      <c r="D74" s="1069"/>
      <c r="E74" s="1069"/>
      <c r="F74" s="1377"/>
      <c r="G74" s="1377"/>
      <c r="H74" s="1377"/>
      <c r="I74" s="1377"/>
      <c r="J74" s="1377"/>
      <c r="K74" s="1385">
        <v>16.96</v>
      </c>
      <c r="L74" s="1383">
        <f t="shared" si="14"/>
        <v>16.96</v>
      </c>
      <c r="M74" s="1380"/>
      <c r="N74" s="1380"/>
      <c r="O74" s="1380">
        <f t="shared" ref="O74:O137" si="24">(L74*M74)</f>
        <v>0</v>
      </c>
      <c r="P74" s="1069">
        <f t="shared" si="15"/>
        <v>0</v>
      </c>
      <c r="Q74" s="1069">
        <f t="shared" si="16"/>
        <v>0</v>
      </c>
      <c r="R74" s="1069">
        <f t="shared" si="17"/>
        <v>0</v>
      </c>
      <c r="S74" s="1069">
        <f t="shared" si="18"/>
        <v>0</v>
      </c>
      <c r="T74" s="1069">
        <f t="shared" si="19"/>
        <v>0</v>
      </c>
      <c r="U74" s="1069">
        <f t="shared" si="19"/>
        <v>0</v>
      </c>
      <c r="V74" s="1069">
        <f t="shared" si="20"/>
        <v>0</v>
      </c>
      <c r="W74" s="1386">
        <f t="shared" si="21"/>
        <v>12.114285714285716</v>
      </c>
      <c r="X74" s="1383">
        <f t="shared" si="22"/>
        <v>12.114285714285716</v>
      </c>
      <c r="Y74" s="1380">
        <f t="shared" si="23"/>
        <v>0</v>
      </c>
      <c r="Z74" s="1380"/>
      <c r="AA74" s="1380">
        <f t="shared" ref="AA74:AA137" si="25">(X74*Y74)</f>
        <v>0</v>
      </c>
    </row>
    <row r="75" spans="2:27" hidden="1">
      <c r="B75" s="1375">
        <v>67</v>
      </c>
      <c r="C75" s="1376">
        <v>44926</v>
      </c>
      <c r="D75" s="1069"/>
      <c r="E75" s="1069"/>
      <c r="F75" s="1377"/>
      <c r="G75" s="1377"/>
      <c r="H75" s="1377"/>
      <c r="I75" s="1377"/>
      <c r="J75" s="1377"/>
      <c r="K75" s="1385">
        <v>12.72</v>
      </c>
      <c r="L75" s="1383">
        <f t="shared" si="14"/>
        <v>12.72</v>
      </c>
      <c r="M75" s="1380"/>
      <c r="N75" s="1380"/>
      <c r="O75" s="1380">
        <f t="shared" si="24"/>
        <v>0</v>
      </c>
      <c r="P75" s="1069">
        <f t="shared" si="15"/>
        <v>0</v>
      </c>
      <c r="Q75" s="1069">
        <f t="shared" si="16"/>
        <v>0</v>
      </c>
      <c r="R75" s="1069">
        <f t="shared" si="17"/>
        <v>0</v>
      </c>
      <c r="S75" s="1069">
        <f t="shared" si="18"/>
        <v>0</v>
      </c>
      <c r="T75" s="1069">
        <f t="shared" si="19"/>
        <v>0</v>
      </c>
      <c r="U75" s="1069">
        <f t="shared" si="19"/>
        <v>0</v>
      </c>
      <c r="V75" s="1069">
        <f t="shared" si="20"/>
        <v>0</v>
      </c>
      <c r="W75" s="1386">
        <f t="shared" si="21"/>
        <v>9.0857142857142872</v>
      </c>
      <c r="X75" s="1383">
        <f t="shared" si="22"/>
        <v>9.0857142857142872</v>
      </c>
      <c r="Y75" s="1380">
        <f t="shared" si="23"/>
        <v>0</v>
      </c>
      <c r="Z75" s="1380"/>
      <c r="AA75" s="1380">
        <f t="shared" si="25"/>
        <v>0</v>
      </c>
    </row>
    <row r="76" spans="2:27" hidden="1">
      <c r="B76" s="1375">
        <v>68</v>
      </c>
      <c r="C76" s="1376">
        <v>44926</v>
      </c>
      <c r="D76" s="1069"/>
      <c r="E76" s="1069"/>
      <c r="F76" s="1377"/>
      <c r="G76" s="1377"/>
      <c r="H76" s="1377"/>
      <c r="I76" s="1377"/>
      <c r="J76" s="1377"/>
      <c r="K76" s="1385">
        <v>2.84</v>
      </c>
      <c r="L76" s="1383">
        <f t="shared" si="14"/>
        <v>2.84</v>
      </c>
      <c r="M76" s="1380"/>
      <c r="N76" s="1380"/>
      <c r="O76" s="1380">
        <f t="shared" si="24"/>
        <v>0</v>
      </c>
      <c r="P76" s="1069">
        <f t="shared" si="15"/>
        <v>0</v>
      </c>
      <c r="Q76" s="1069">
        <f t="shared" si="16"/>
        <v>0</v>
      </c>
      <c r="R76" s="1069">
        <f t="shared" si="17"/>
        <v>0</v>
      </c>
      <c r="S76" s="1069">
        <f t="shared" si="18"/>
        <v>0</v>
      </c>
      <c r="T76" s="1069">
        <f t="shared" si="19"/>
        <v>0</v>
      </c>
      <c r="U76" s="1069">
        <f t="shared" si="19"/>
        <v>0</v>
      </c>
      <c r="V76" s="1069">
        <f t="shared" si="20"/>
        <v>0</v>
      </c>
      <c r="W76" s="1386">
        <f t="shared" si="21"/>
        <v>2.0285714285714285</v>
      </c>
      <c r="X76" s="1383">
        <f t="shared" si="22"/>
        <v>2.0285714285714285</v>
      </c>
      <c r="Y76" s="1380">
        <f t="shared" si="23"/>
        <v>0</v>
      </c>
      <c r="Z76" s="1380"/>
      <c r="AA76" s="1380">
        <f t="shared" si="25"/>
        <v>0</v>
      </c>
    </row>
    <row r="77" spans="2:27" hidden="1">
      <c r="B77" s="1375">
        <v>69</v>
      </c>
      <c r="C77" s="1376">
        <v>44926</v>
      </c>
      <c r="D77" s="1069"/>
      <c r="E77" s="1069"/>
      <c r="F77" s="1377"/>
      <c r="G77" s="1377"/>
      <c r="H77" s="1377"/>
      <c r="I77" s="1377"/>
      <c r="J77" s="1377"/>
      <c r="K77" s="1385">
        <v>18.760000000000002</v>
      </c>
      <c r="L77" s="1383">
        <f t="shared" si="14"/>
        <v>18.760000000000002</v>
      </c>
      <c r="M77" s="1380"/>
      <c r="N77" s="1380"/>
      <c r="O77" s="1380">
        <f t="shared" si="24"/>
        <v>0</v>
      </c>
      <c r="P77" s="1069">
        <f t="shared" si="15"/>
        <v>0</v>
      </c>
      <c r="Q77" s="1069">
        <f t="shared" si="16"/>
        <v>0</v>
      </c>
      <c r="R77" s="1069">
        <f t="shared" si="17"/>
        <v>0</v>
      </c>
      <c r="S77" s="1069">
        <f t="shared" si="18"/>
        <v>0</v>
      </c>
      <c r="T77" s="1069">
        <f t="shared" si="19"/>
        <v>0</v>
      </c>
      <c r="U77" s="1069">
        <f t="shared" si="19"/>
        <v>0</v>
      </c>
      <c r="V77" s="1069">
        <f t="shared" si="20"/>
        <v>0</v>
      </c>
      <c r="W77" s="1386">
        <f t="shared" si="21"/>
        <v>13.400000000000002</v>
      </c>
      <c r="X77" s="1383">
        <f t="shared" si="22"/>
        <v>13.400000000000002</v>
      </c>
      <c r="Y77" s="1380">
        <f t="shared" si="23"/>
        <v>0</v>
      </c>
      <c r="Z77" s="1380"/>
      <c r="AA77" s="1380">
        <f t="shared" si="25"/>
        <v>0</v>
      </c>
    </row>
    <row r="78" spans="2:27" hidden="1">
      <c r="B78" s="1375">
        <v>70</v>
      </c>
      <c r="C78" s="1376">
        <v>44926</v>
      </c>
      <c r="D78" s="1069"/>
      <c r="E78" s="1069"/>
      <c r="F78" s="1377"/>
      <c r="G78" s="1377"/>
      <c r="H78" s="1377"/>
      <c r="I78" s="1377"/>
      <c r="J78" s="1377"/>
      <c r="K78" s="1385">
        <v>4.88</v>
      </c>
      <c r="L78" s="1383">
        <f t="shared" si="14"/>
        <v>4.88</v>
      </c>
      <c r="M78" s="1380"/>
      <c r="N78" s="1380"/>
      <c r="O78" s="1380">
        <f t="shared" si="24"/>
        <v>0</v>
      </c>
      <c r="P78" s="1069">
        <f t="shared" si="15"/>
        <v>0</v>
      </c>
      <c r="Q78" s="1069">
        <f t="shared" si="16"/>
        <v>0</v>
      </c>
      <c r="R78" s="1069">
        <f t="shared" si="17"/>
        <v>0</v>
      </c>
      <c r="S78" s="1069">
        <f t="shared" si="18"/>
        <v>0</v>
      </c>
      <c r="T78" s="1069">
        <f t="shared" si="19"/>
        <v>0</v>
      </c>
      <c r="U78" s="1069">
        <f t="shared" si="19"/>
        <v>0</v>
      </c>
      <c r="V78" s="1069">
        <f t="shared" si="20"/>
        <v>0</v>
      </c>
      <c r="W78" s="1386">
        <f t="shared" si="21"/>
        <v>3.4857142857142858</v>
      </c>
      <c r="X78" s="1383">
        <f t="shared" si="22"/>
        <v>3.4857142857142858</v>
      </c>
      <c r="Y78" s="1380">
        <f t="shared" si="23"/>
        <v>0</v>
      </c>
      <c r="Z78" s="1380"/>
      <c r="AA78" s="1380">
        <f t="shared" si="25"/>
        <v>0</v>
      </c>
    </row>
    <row r="79" spans="2:27" hidden="1">
      <c r="B79" s="1375">
        <v>71</v>
      </c>
      <c r="C79" s="1376">
        <v>44926</v>
      </c>
      <c r="D79" s="1069"/>
      <c r="E79" s="1069"/>
      <c r="F79" s="1377"/>
      <c r="G79" s="1377"/>
      <c r="H79" s="1377"/>
      <c r="I79" s="1377"/>
      <c r="J79" s="1377"/>
      <c r="K79" s="1385">
        <v>1</v>
      </c>
      <c r="L79" s="1383">
        <f t="shared" si="14"/>
        <v>1</v>
      </c>
      <c r="M79" s="1380"/>
      <c r="N79" s="1380"/>
      <c r="O79" s="1380">
        <f t="shared" si="24"/>
        <v>0</v>
      </c>
      <c r="P79" s="1069">
        <f t="shared" si="15"/>
        <v>0</v>
      </c>
      <c r="Q79" s="1069">
        <f t="shared" si="16"/>
        <v>0</v>
      </c>
      <c r="R79" s="1069">
        <f t="shared" si="17"/>
        <v>0</v>
      </c>
      <c r="S79" s="1069">
        <f t="shared" si="18"/>
        <v>0</v>
      </c>
      <c r="T79" s="1069">
        <f t="shared" si="19"/>
        <v>0</v>
      </c>
      <c r="U79" s="1069">
        <f t="shared" si="19"/>
        <v>0</v>
      </c>
      <c r="V79" s="1069">
        <f t="shared" si="20"/>
        <v>0</v>
      </c>
      <c r="W79" s="1386">
        <f t="shared" si="21"/>
        <v>0.7142857142857143</v>
      </c>
      <c r="X79" s="1383">
        <f t="shared" si="22"/>
        <v>0.7142857142857143</v>
      </c>
      <c r="Y79" s="1380">
        <f t="shared" si="23"/>
        <v>0</v>
      </c>
      <c r="Z79" s="1380"/>
      <c r="AA79" s="1380">
        <f t="shared" si="25"/>
        <v>0</v>
      </c>
    </row>
    <row r="80" spans="2:27" hidden="1">
      <c r="B80" s="1375">
        <v>72</v>
      </c>
      <c r="C80" s="1376">
        <v>44926</v>
      </c>
      <c r="D80" s="1069"/>
      <c r="E80" s="1069"/>
      <c r="F80" s="1377"/>
      <c r="G80" s="1377"/>
      <c r="H80" s="1377"/>
      <c r="I80" s="1377"/>
      <c r="J80" s="1377"/>
      <c r="K80" s="1385">
        <v>0.5</v>
      </c>
      <c r="L80" s="1383">
        <f t="shared" si="14"/>
        <v>0.5</v>
      </c>
      <c r="M80" s="1380"/>
      <c r="N80" s="1380"/>
      <c r="O80" s="1380">
        <f t="shared" si="24"/>
        <v>0</v>
      </c>
      <c r="P80" s="1069">
        <f t="shared" si="15"/>
        <v>0</v>
      </c>
      <c r="Q80" s="1069">
        <f t="shared" si="16"/>
        <v>0</v>
      </c>
      <c r="R80" s="1069">
        <f t="shared" si="17"/>
        <v>0</v>
      </c>
      <c r="S80" s="1069">
        <f t="shared" si="18"/>
        <v>0</v>
      </c>
      <c r="T80" s="1069">
        <f t="shared" si="19"/>
        <v>0</v>
      </c>
      <c r="U80" s="1069">
        <f t="shared" si="19"/>
        <v>0</v>
      </c>
      <c r="V80" s="1069">
        <f t="shared" si="20"/>
        <v>0</v>
      </c>
      <c r="W80" s="1386">
        <f t="shared" si="21"/>
        <v>0.35714285714285715</v>
      </c>
      <c r="X80" s="1383">
        <f t="shared" si="22"/>
        <v>0.35714285714285715</v>
      </c>
      <c r="Y80" s="1380">
        <f t="shared" si="23"/>
        <v>0</v>
      </c>
      <c r="Z80" s="1380"/>
      <c r="AA80" s="1380">
        <f t="shared" si="25"/>
        <v>0</v>
      </c>
    </row>
    <row r="81" spans="2:27" hidden="1">
      <c r="B81" s="1375">
        <v>73</v>
      </c>
      <c r="C81" s="1376">
        <v>44926</v>
      </c>
      <c r="D81" s="1069"/>
      <c r="E81" s="1069"/>
      <c r="F81" s="1377"/>
      <c r="G81" s="1377"/>
      <c r="H81" s="1377"/>
      <c r="I81" s="1377"/>
      <c r="J81" s="1377"/>
      <c r="K81" s="1385">
        <v>1.1399999999999999</v>
      </c>
      <c r="L81" s="1383">
        <f t="shared" si="14"/>
        <v>1.1399999999999999</v>
      </c>
      <c r="M81" s="1380"/>
      <c r="N81" s="1380"/>
      <c r="O81" s="1380">
        <f t="shared" si="24"/>
        <v>0</v>
      </c>
      <c r="P81" s="1069">
        <f t="shared" si="15"/>
        <v>0</v>
      </c>
      <c r="Q81" s="1069">
        <f t="shared" si="16"/>
        <v>0</v>
      </c>
      <c r="R81" s="1069">
        <f t="shared" si="17"/>
        <v>0</v>
      </c>
      <c r="S81" s="1069">
        <f t="shared" si="18"/>
        <v>0</v>
      </c>
      <c r="T81" s="1069">
        <f t="shared" si="19"/>
        <v>0</v>
      </c>
      <c r="U81" s="1069">
        <f t="shared" si="19"/>
        <v>0</v>
      </c>
      <c r="V81" s="1069">
        <f t="shared" si="20"/>
        <v>0</v>
      </c>
      <c r="W81" s="1386">
        <f t="shared" si="21"/>
        <v>0.81428571428571428</v>
      </c>
      <c r="X81" s="1383">
        <f t="shared" si="22"/>
        <v>0.81428571428571428</v>
      </c>
      <c r="Y81" s="1380">
        <f t="shared" si="23"/>
        <v>0</v>
      </c>
      <c r="Z81" s="1380"/>
      <c r="AA81" s="1380">
        <f t="shared" si="25"/>
        <v>0</v>
      </c>
    </row>
    <row r="82" spans="2:27" hidden="1">
      <c r="B82" s="1375">
        <v>74</v>
      </c>
      <c r="C82" s="1376">
        <v>44926</v>
      </c>
      <c r="D82" s="1069"/>
      <c r="E82" s="1069"/>
      <c r="F82" s="1377"/>
      <c r="G82" s="1377"/>
      <c r="H82" s="1377"/>
      <c r="I82" s="1377"/>
      <c r="J82" s="1377"/>
      <c r="K82" s="1385">
        <v>2.72</v>
      </c>
      <c r="L82" s="1383">
        <f t="shared" si="14"/>
        <v>2.72</v>
      </c>
      <c r="M82" s="1380"/>
      <c r="N82" s="1380"/>
      <c r="O82" s="1380">
        <f t="shared" si="24"/>
        <v>0</v>
      </c>
      <c r="P82" s="1069">
        <f t="shared" si="15"/>
        <v>0</v>
      </c>
      <c r="Q82" s="1069">
        <f t="shared" si="16"/>
        <v>0</v>
      </c>
      <c r="R82" s="1069">
        <f t="shared" si="17"/>
        <v>0</v>
      </c>
      <c r="S82" s="1069">
        <f t="shared" si="18"/>
        <v>0</v>
      </c>
      <c r="T82" s="1069">
        <f t="shared" si="19"/>
        <v>0</v>
      </c>
      <c r="U82" s="1069">
        <f t="shared" si="19"/>
        <v>0</v>
      </c>
      <c r="V82" s="1069">
        <f t="shared" si="20"/>
        <v>0</v>
      </c>
      <c r="W82" s="1386">
        <f t="shared" si="21"/>
        <v>1.9428571428571431</v>
      </c>
      <c r="X82" s="1383">
        <f t="shared" si="22"/>
        <v>1.9428571428571431</v>
      </c>
      <c r="Y82" s="1380">
        <f t="shared" si="23"/>
        <v>0</v>
      </c>
      <c r="Z82" s="1380"/>
      <c r="AA82" s="1380">
        <f t="shared" si="25"/>
        <v>0</v>
      </c>
    </row>
    <row r="83" spans="2:27" hidden="1">
      <c r="B83" s="1375">
        <v>75</v>
      </c>
      <c r="C83" s="1376">
        <v>44926</v>
      </c>
      <c r="D83" s="1069"/>
      <c r="E83" s="1069"/>
      <c r="F83" s="1377"/>
      <c r="G83" s="1377"/>
      <c r="H83" s="1377"/>
      <c r="I83" s="1377"/>
      <c r="J83" s="1377"/>
      <c r="K83" s="1385">
        <v>19.420000000000002</v>
      </c>
      <c r="L83" s="1383">
        <f t="shared" si="14"/>
        <v>19.420000000000002</v>
      </c>
      <c r="M83" s="1380"/>
      <c r="N83" s="1380"/>
      <c r="O83" s="1380">
        <f t="shared" si="24"/>
        <v>0</v>
      </c>
      <c r="P83" s="1069">
        <f t="shared" si="15"/>
        <v>0</v>
      </c>
      <c r="Q83" s="1069">
        <f t="shared" si="16"/>
        <v>0</v>
      </c>
      <c r="R83" s="1069">
        <f t="shared" si="17"/>
        <v>0</v>
      </c>
      <c r="S83" s="1069">
        <f t="shared" si="18"/>
        <v>0</v>
      </c>
      <c r="T83" s="1069">
        <f t="shared" si="19"/>
        <v>0</v>
      </c>
      <c r="U83" s="1069">
        <f t="shared" si="19"/>
        <v>0</v>
      </c>
      <c r="V83" s="1069">
        <f t="shared" si="20"/>
        <v>0</v>
      </c>
      <c r="W83" s="1386">
        <f t="shared" si="21"/>
        <v>13.871428571428574</v>
      </c>
      <c r="X83" s="1383">
        <f t="shared" si="22"/>
        <v>13.871428571428574</v>
      </c>
      <c r="Y83" s="1380">
        <f t="shared" si="23"/>
        <v>0</v>
      </c>
      <c r="Z83" s="1380"/>
      <c r="AA83" s="1380">
        <f t="shared" si="25"/>
        <v>0</v>
      </c>
    </row>
    <row r="84" spans="2:27" hidden="1">
      <c r="B84" s="1375">
        <v>76</v>
      </c>
      <c r="C84" s="1376">
        <v>44926</v>
      </c>
      <c r="D84" s="1069"/>
      <c r="E84" s="1069"/>
      <c r="F84" s="1377"/>
      <c r="G84" s="1377"/>
      <c r="H84" s="1377"/>
      <c r="I84" s="1377"/>
      <c r="J84" s="1377"/>
      <c r="K84" s="1385">
        <v>5.22</v>
      </c>
      <c r="L84" s="1383">
        <f t="shared" si="14"/>
        <v>5.22</v>
      </c>
      <c r="M84" s="1380"/>
      <c r="N84" s="1380"/>
      <c r="O84" s="1380">
        <f t="shared" si="24"/>
        <v>0</v>
      </c>
      <c r="P84" s="1069">
        <f t="shared" si="15"/>
        <v>0</v>
      </c>
      <c r="Q84" s="1069">
        <f t="shared" si="16"/>
        <v>0</v>
      </c>
      <c r="R84" s="1069">
        <f t="shared" si="17"/>
        <v>0</v>
      </c>
      <c r="S84" s="1069">
        <f t="shared" si="18"/>
        <v>0</v>
      </c>
      <c r="T84" s="1069">
        <f t="shared" si="19"/>
        <v>0</v>
      </c>
      <c r="U84" s="1069">
        <f t="shared" si="19"/>
        <v>0</v>
      </c>
      <c r="V84" s="1069">
        <f t="shared" si="20"/>
        <v>0</v>
      </c>
      <c r="W84" s="1386">
        <f t="shared" si="21"/>
        <v>3.7285714285714286</v>
      </c>
      <c r="X84" s="1383">
        <f t="shared" si="22"/>
        <v>3.7285714285714286</v>
      </c>
      <c r="Y84" s="1380">
        <f t="shared" si="23"/>
        <v>0</v>
      </c>
      <c r="Z84" s="1380"/>
      <c r="AA84" s="1380">
        <f t="shared" si="25"/>
        <v>0</v>
      </c>
    </row>
    <row r="85" spans="2:27" hidden="1">
      <c r="B85" s="1375">
        <v>77</v>
      </c>
      <c r="C85" s="1376">
        <v>44926</v>
      </c>
      <c r="D85" s="1069"/>
      <c r="E85" s="1069"/>
      <c r="F85" s="1377"/>
      <c r="G85" s="1377"/>
      <c r="H85" s="1377"/>
      <c r="I85" s="1377"/>
      <c r="J85" s="1377"/>
      <c r="K85" s="1385">
        <v>2.92</v>
      </c>
      <c r="L85" s="1383">
        <f t="shared" si="14"/>
        <v>2.92</v>
      </c>
      <c r="M85" s="1380"/>
      <c r="N85" s="1380"/>
      <c r="O85" s="1380">
        <f t="shared" si="24"/>
        <v>0</v>
      </c>
      <c r="P85" s="1069">
        <f t="shared" si="15"/>
        <v>0</v>
      </c>
      <c r="Q85" s="1069">
        <f t="shared" si="16"/>
        <v>0</v>
      </c>
      <c r="R85" s="1069">
        <f t="shared" si="17"/>
        <v>0</v>
      </c>
      <c r="S85" s="1069">
        <f t="shared" si="18"/>
        <v>0</v>
      </c>
      <c r="T85" s="1069">
        <f t="shared" si="19"/>
        <v>0</v>
      </c>
      <c r="U85" s="1069">
        <f t="shared" si="19"/>
        <v>0</v>
      </c>
      <c r="V85" s="1069">
        <f t="shared" si="20"/>
        <v>0</v>
      </c>
      <c r="W85" s="1386">
        <f t="shared" si="21"/>
        <v>2.0857142857142859</v>
      </c>
      <c r="X85" s="1383">
        <f t="shared" si="22"/>
        <v>2.0857142857142859</v>
      </c>
      <c r="Y85" s="1380">
        <f t="shared" si="23"/>
        <v>0</v>
      </c>
      <c r="Z85" s="1380"/>
      <c r="AA85" s="1380">
        <f t="shared" si="25"/>
        <v>0</v>
      </c>
    </row>
    <row r="86" spans="2:27" hidden="1">
      <c r="B86" s="1375">
        <v>78</v>
      </c>
      <c r="C86" s="1376">
        <v>44926</v>
      </c>
      <c r="D86" s="1069"/>
      <c r="E86" s="1069"/>
      <c r="F86" s="1377"/>
      <c r="G86" s="1377"/>
      <c r="H86" s="1377"/>
      <c r="I86" s="1377"/>
      <c r="J86" s="1377"/>
      <c r="K86" s="1385">
        <v>17.600000000000001</v>
      </c>
      <c r="L86" s="1383">
        <f t="shared" si="14"/>
        <v>17.600000000000001</v>
      </c>
      <c r="M86" s="1380"/>
      <c r="N86" s="1380"/>
      <c r="O86" s="1380">
        <f t="shared" si="24"/>
        <v>0</v>
      </c>
      <c r="P86" s="1069">
        <f t="shared" si="15"/>
        <v>0</v>
      </c>
      <c r="Q86" s="1069">
        <f t="shared" si="16"/>
        <v>0</v>
      </c>
      <c r="R86" s="1069">
        <f t="shared" si="17"/>
        <v>0</v>
      </c>
      <c r="S86" s="1069">
        <f t="shared" si="18"/>
        <v>0</v>
      </c>
      <c r="T86" s="1069">
        <f t="shared" si="19"/>
        <v>0</v>
      </c>
      <c r="U86" s="1069">
        <f t="shared" si="19"/>
        <v>0</v>
      </c>
      <c r="V86" s="1069">
        <f t="shared" si="20"/>
        <v>0</v>
      </c>
      <c r="W86" s="1386">
        <f t="shared" si="21"/>
        <v>12.571428571428573</v>
      </c>
      <c r="X86" s="1383">
        <f t="shared" si="22"/>
        <v>12.571428571428573</v>
      </c>
      <c r="Y86" s="1380">
        <f t="shared" si="23"/>
        <v>0</v>
      </c>
      <c r="Z86" s="1380"/>
      <c r="AA86" s="1380">
        <f t="shared" si="25"/>
        <v>0</v>
      </c>
    </row>
    <row r="87" spans="2:27" hidden="1">
      <c r="B87" s="1375">
        <v>79</v>
      </c>
      <c r="C87" s="1376">
        <v>44926</v>
      </c>
      <c r="D87" s="1069"/>
      <c r="E87" s="1069"/>
      <c r="F87" s="1377"/>
      <c r="G87" s="1377"/>
      <c r="H87" s="1377"/>
      <c r="I87" s="1377"/>
      <c r="J87" s="1377"/>
      <c r="K87" s="1385">
        <v>3.8</v>
      </c>
      <c r="L87" s="1383">
        <f t="shared" si="14"/>
        <v>3.8</v>
      </c>
      <c r="M87" s="1380"/>
      <c r="N87" s="1380"/>
      <c r="O87" s="1380">
        <f t="shared" si="24"/>
        <v>0</v>
      </c>
      <c r="P87" s="1069">
        <f t="shared" si="15"/>
        <v>0</v>
      </c>
      <c r="Q87" s="1069">
        <f t="shared" si="16"/>
        <v>0</v>
      </c>
      <c r="R87" s="1069">
        <f t="shared" si="17"/>
        <v>0</v>
      </c>
      <c r="S87" s="1069">
        <f t="shared" si="18"/>
        <v>0</v>
      </c>
      <c r="T87" s="1069">
        <f t="shared" si="19"/>
        <v>0</v>
      </c>
      <c r="U87" s="1069">
        <f t="shared" si="19"/>
        <v>0</v>
      </c>
      <c r="V87" s="1069">
        <f t="shared" si="20"/>
        <v>0</v>
      </c>
      <c r="W87" s="1386">
        <f t="shared" si="21"/>
        <v>2.7142857142857144</v>
      </c>
      <c r="X87" s="1383">
        <f t="shared" si="22"/>
        <v>2.7142857142857144</v>
      </c>
      <c r="Y87" s="1380">
        <f t="shared" si="23"/>
        <v>0</v>
      </c>
      <c r="Z87" s="1380"/>
      <c r="AA87" s="1380">
        <f t="shared" si="25"/>
        <v>0</v>
      </c>
    </row>
    <row r="88" spans="2:27" hidden="1">
      <c r="B88" s="1375">
        <v>80</v>
      </c>
      <c r="C88" s="1376">
        <v>44926</v>
      </c>
      <c r="D88" s="1069"/>
      <c r="E88" s="1069"/>
      <c r="F88" s="1377"/>
      <c r="G88" s="1377"/>
      <c r="H88" s="1377"/>
      <c r="I88" s="1377"/>
      <c r="J88" s="1377"/>
      <c r="K88" s="1385">
        <v>1.6</v>
      </c>
      <c r="L88" s="1383">
        <f t="shared" si="14"/>
        <v>1.6</v>
      </c>
      <c r="M88" s="1380"/>
      <c r="N88" s="1380"/>
      <c r="O88" s="1380">
        <f t="shared" si="24"/>
        <v>0</v>
      </c>
      <c r="P88" s="1069">
        <f t="shared" si="15"/>
        <v>0</v>
      </c>
      <c r="Q88" s="1069">
        <f t="shared" si="16"/>
        <v>0</v>
      </c>
      <c r="R88" s="1069">
        <f t="shared" si="17"/>
        <v>0</v>
      </c>
      <c r="S88" s="1069">
        <f t="shared" si="18"/>
        <v>0</v>
      </c>
      <c r="T88" s="1069">
        <f t="shared" si="19"/>
        <v>0</v>
      </c>
      <c r="U88" s="1069">
        <f t="shared" si="19"/>
        <v>0</v>
      </c>
      <c r="V88" s="1069">
        <f t="shared" si="20"/>
        <v>0</v>
      </c>
      <c r="W88" s="1386">
        <f t="shared" si="21"/>
        <v>1.142857142857143</v>
      </c>
      <c r="X88" s="1383">
        <f t="shared" si="22"/>
        <v>1.142857142857143</v>
      </c>
      <c r="Y88" s="1380">
        <f t="shared" si="23"/>
        <v>0</v>
      </c>
      <c r="Z88" s="1380"/>
      <c r="AA88" s="1380">
        <f t="shared" si="25"/>
        <v>0</v>
      </c>
    </row>
    <row r="89" spans="2:27" hidden="1">
      <c r="B89" s="1375">
        <v>81</v>
      </c>
      <c r="C89" s="1376">
        <v>44926</v>
      </c>
      <c r="D89" s="1069"/>
      <c r="E89" s="1069"/>
      <c r="F89" s="1377"/>
      <c r="G89" s="1377"/>
      <c r="H89" s="1377"/>
      <c r="I89" s="1377"/>
      <c r="J89" s="1377"/>
      <c r="K89" s="1385">
        <v>1.98</v>
      </c>
      <c r="L89" s="1383">
        <f t="shared" si="14"/>
        <v>1.98</v>
      </c>
      <c r="M89" s="1380"/>
      <c r="N89" s="1380"/>
      <c r="O89" s="1380">
        <f t="shared" si="24"/>
        <v>0</v>
      </c>
      <c r="P89" s="1069">
        <f t="shared" si="15"/>
        <v>0</v>
      </c>
      <c r="Q89" s="1069">
        <f t="shared" si="16"/>
        <v>0</v>
      </c>
      <c r="R89" s="1069">
        <f t="shared" si="17"/>
        <v>0</v>
      </c>
      <c r="S89" s="1069">
        <f t="shared" si="18"/>
        <v>0</v>
      </c>
      <c r="T89" s="1069">
        <f t="shared" si="19"/>
        <v>0</v>
      </c>
      <c r="U89" s="1069">
        <f t="shared" si="19"/>
        <v>0</v>
      </c>
      <c r="V89" s="1069">
        <f t="shared" si="20"/>
        <v>0</v>
      </c>
      <c r="W89" s="1386">
        <f t="shared" si="21"/>
        <v>1.4142857142857144</v>
      </c>
      <c r="X89" s="1383">
        <f t="shared" si="22"/>
        <v>1.4142857142857144</v>
      </c>
      <c r="Y89" s="1380">
        <f t="shared" si="23"/>
        <v>0</v>
      </c>
      <c r="Z89" s="1380"/>
      <c r="AA89" s="1380">
        <f t="shared" si="25"/>
        <v>0</v>
      </c>
    </row>
    <row r="90" spans="2:27" hidden="1">
      <c r="B90" s="1375">
        <v>82</v>
      </c>
      <c r="C90" s="1376">
        <v>44926</v>
      </c>
      <c r="D90" s="1069"/>
      <c r="E90" s="1069"/>
      <c r="F90" s="1377"/>
      <c r="G90" s="1377"/>
      <c r="H90" s="1377"/>
      <c r="I90" s="1377"/>
      <c r="J90" s="1377"/>
      <c r="K90" s="1385">
        <v>1</v>
      </c>
      <c r="L90" s="1383">
        <f t="shared" si="14"/>
        <v>1</v>
      </c>
      <c r="M90" s="1380"/>
      <c r="N90" s="1380"/>
      <c r="O90" s="1380">
        <f t="shared" si="24"/>
        <v>0</v>
      </c>
      <c r="P90" s="1069">
        <f t="shared" si="15"/>
        <v>0</v>
      </c>
      <c r="Q90" s="1069">
        <f t="shared" si="16"/>
        <v>0</v>
      </c>
      <c r="R90" s="1069">
        <f t="shared" si="17"/>
        <v>0</v>
      </c>
      <c r="S90" s="1069">
        <f t="shared" si="18"/>
        <v>0</v>
      </c>
      <c r="T90" s="1069">
        <f t="shared" si="19"/>
        <v>0</v>
      </c>
      <c r="U90" s="1069">
        <f t="shared" si="19"/>
        <v>0</v>
      </c>
      <c r="V90" s="1069">
        <f t="shared" si="20"/>
        <v>0</v>
      </c>
      <c r="W90" s="1386">
        <f t="shared" si="21"/>
        <v>0.7142857142857143</v>
      </c>
      <c r="X90" s="1383">
        <f t="shared" si="22"/>
        <v>0.7142857142857143</v>
      </c>
      <c r="Y90" s="1380">
        <f t="shared" si="23"/>
        <v>0</v>
      </c>
      <c r="Z90" s="1380"/>
      <c r="AA90" s="1380">
        <f t="shared" si="25"/>
        <v>0</v>
      </c>
    </row>
    <row r="91" spans="2:27" hidden="1">
      <c r="B91" s="1375">
        <v>83</v>
      </c>
      <c r="C91" s="1376">
        <v>44926</v>
      </c>
      <c r="D91" s="1069"/>
      <c r="E91" s="1069"/>
      <c r="F91" s="1377"/>
      <c r="G91" s="1377"/>
      <c r="H91" s="1377"/>
      <c r="I91" s="1377"/>
      <c r="J91" s="1377"/>
      <c r="K91" s="1385">
        <v>73.3</v>
      </c>
      <c r="L91" s="1383">
        <f t="shared" si="14"/>
        <v>73.3</v>
      </c>
      <c r="M91" s="1380"/>
      <c r="N91" s="1380"/>
      <c r="O91" s="1380">
        <f t="shared" si="24"/>
        <v>0</v>
      </c>
      <c r="P91" s="1069">
        <f t="shared" si="15"/>
        <v>0</v>
      </c>
      <c r="Q91" s="1069">
        <f t="shared" si="16"/>
        <v>0</v>
      </c>
      <c r="R91" s="1069">
        <f t="shared" si="17"/>
        <v>0</v>
      </c>
      <c r="S91" s="1069">
        <f t="shared" si="18"/>
        <v>0</v>
      </c>
      <c r="T91" s="1069">
        <f t="shared" si="19"/>
        <v>0</v>
      </c>
      <c r="U91" s="1069">
        <f t="shared" si="19"/>
        <v>0</v>
      </c>
      <c r="V91" s="1069">
        <f t="shared" si="20"/>
        <v>0</v>
      </c>
      <c r="W91" s="1386">
        <f t="shared" si="21"/>
        <v>52.357142857142861</v>
      </c>
      <c r="X91" s="1383">
        <f t="shared" si="22"/>
        <v>52.357142857142861</v>
      </c>
      <c r="Y91" s="1380">
        <f t="shared" si="23"/>
        <v>0</v>
      </c>
      <c r="Z91" s="1380"/>
      <c r="AA91" s="1380">
        <f t="shared" si="25"/>
        <v>0</v>
      </c>
    </row>
    <row r="92" spans="2:27" hidden="1">
      <c r="B92" s="1375">
        <v>84</v>
      </c>
      <c r="C92" s="1376">
        <v>44926</v>
      </c>
      <c r="D92" s="1069"/>
      <c r="E92" s="1069"/>
      <c r="F92" s="1377"/>
      <c r="G92" s="1377"/>
      <c r="H92" s="1377"/>
      <c r="I92" s="1377"/>
      <c r="J92" s="1377"/>
      <c r="K92" s="1385">
        <v>22.26</v>
      </c>
      <c r="L92" s="1383">
        <f t="shared" si="14"/>
        <v>22.26</v>
      </c>
      <c r="M92" s="1380"/>
      <c r="N92" s="1380"/>
      <c r="O92" s="1380">
        <f t="shared" si="24"/>
        <v>0</v>
      </c>
      <c r="P92" s="1069">
        <f t="shared" si="15"/>
        <v>0</v>
      </c>
      <c r="Q92" s="1069">
        <f t="shared" si="16"/>
        <v>0</v>
      </c>
      <c r="R92" s="1069">
        <f t="shared" si="17"/>
        <v>0</v>
      </c>
      <c r="S92" s="1069">
        <f t="shared" si="18"/>
        <v>0</v>
      </c>
      <c r="T92" s="1069">
        <f t="shared" si="19"/>
        <v>0</v>
      </c>
      <c r="U92" s="1069">
        <f t="shared" si="19"/>
        <v>0</v>
      </c>
      <c r="V92" s="1069">
        <f t="shared" si="20"/>
        <v>0</v>
      </c>
      <c r="W92" s="1386">
        <f t="shared" si="21"/>
        <v>15.900000000000002</v>
      </c>
      <c r="X92" s="1383">
        <f t="shared" si="22"/>
        <v>15.900000000000002</v>
      </c>
      <c r="Y92" s="1380">
        <f t="shared" si="23"/>
        <v>0</v>
      </c>
      <c r="Z92" s="1380"/>
      <c r="AA92" s="1380">
        <f t="shared" si="25"/>
        <v>0</v>
      </c>
    </row>
    <row r="93" spans="2:27" hidden="1">
      <c r="B93" s="1375">
        <v>85</v>
      </c>
      <c r="C93" s="1376">
        <v>44926</v>
      </c>
      <c r="D93" s="1069"/>
      <c r="E93" s="1069"/>
      <c r="F93" s="1377"/>
      <c r="G93" s="1377"/>
      <c r="H93" s="1377"/>
      <c r="I93" s="1377"/>
      <c r="J93" s="1377">
        <v>71.58</v>
      </c>
      <c r="K93" s="1377"/>
      <c r="L93" s="1378">
        <f t="shared" si="14"/>
        <v>71.58</v>
      </c>
      <c r="M93" s="1380">
        <v>55</v>
      </c>
      <c r="N93" s="1380"/>
      <c r="O93" s="1380">
        <f t="shared" si="24"/>
        <v>3936.9</v>
      </c>
      <c r="P93" s="1069">
        <f t="shared" si="15"/>
        <v>0</v>
      </c>
      <c r="Q93" s="1069">
        <f t="shared" si="16"/>
        <v>0</v>
      </c>
      <c r="R93" s="1069">
        <f t="shared" si="17"/>
        <v>0</v>
      </c>
      <c r="S93" s="1069">
        <f t="shared" si="18"/>
        <v>0</v>
      </c>
      <c r="T93" s="1069">
        <f t="shared" si="19"/>
        <v>0</v>
      </c>
      <c r="U93" s="1069">
        <f t="shared" si="19"/>
        <v>0</v>
      </c>
      <c r="V93" s="1069">
        <f t="shared" si="20"/>
        <v>51.128571428571433</v>
      </c>
      <c r="W93" s="1069">
        <f t="shared" si="21"/>
        <v>0</v>
      </c>
      <c r="X93" s="1378">
        <f t="shared" si="22"/>
        <v>51.128571428571433</v>
      </c>
      <c r="Y93" s="1380">
        <f t="shared" si="23"/>
        <v>77</v>
      </c>
      <c r="Z93" s="1380"/>
      <c r="AA93" s="1380">
        <f t="shared" si="25"/>
        <v>3936.9000000000005</v>
      </c>
    </row>
    <row r="94" spans="2:27" hidden="1">
      <c r="B94" s="1375">
        <v>86</v>
      </c>
      <c r="C94" s="1376">
        <v>44926</v>
      </c>
      <c r="D94" s="1069"/>
      <c r="E94" s="1069"/>
      <c r="F94" s="1377"/>
      <c r="G94" s="1377"/>
      <c r="H94" s="1377"/>
      <c r="I94" s="1377"/>
      <c r="J94" s="1377">
        <v>73.400000000000006</v>
      </c>
      <c r="K94" s="1377"/>
      <c r="L94" s="1378">
        <f t="shared" si="14"/>
        <v>73.400000000000006</v>
      </c>
      <c r="M94" s="1380">
        <v>55</v>
      </c>
      <c r="N94" s="1380"/>
      <c r="O94" s="1380">
        <f t="shared" si="24"/>
        <v>4037.0000000000005</v>
      </c>
      <c r="P94" s="1069">
        <f t="shared" si="15"/>
        <v>0</v>
      </c>
      <c r="Q94" s="1069">
        <f t="shared" si="16"/>
        <v>0</v>
      </c>
      <c r="R94" s="1069">
        <f t="shared" si="17"/>
        <v>0</v>
      </c>
      <c r="S94" s="1069">
        <f t="shared" si="18"/>
        <v>0</v>
      </c>
      <c r="T94" s="1069">
        <f t="shared" si="19"/>
        <v>0</v>
      </c>
      <c r="U94" s="1069">
        <f t="shared" si="19"/>
        <v>0</v>
      </c>
      <c r="V94" s="1069">
        <f t="shared" si="20"/>
        <v>52.428571428571438</v>
      </c>
      <c r="W94" s="1069">
        <f t="shared" si="21"/>
        <v>0</v>
      </c>
      <c r="X94" s="1378">
        <f t="shared" si="22"/>
        <v>52.428571428571438</v>
      </c>
      <c r="Y94" s="1380">
        <f t="shared" si="23"/>
        <v>77</v>
      </c>
      <c r="Z94" s="1380"/>
      <c r="AA94" s="1380">
        <f t="shared" si="25"/>
        <v>4037.0000000000009</v>
      </c>
    </row>
    <row r="95" spans="2:27" hidden="1">
      <c r="B95" s="1375">
        <v>87</v>
      </c>
      <c r="C95" s="1376">
        <v>44926</v>
      </c>
      <c r="D95" s="1069"/>
      <c r="E95" s="1069"/>
      <c r="F95" s="1377"/>
      <c r="G95" s="1377"/>
      <c r="H95" s="1377"/>
      <c r="I95" s="1377"/>
      <c r="J95" s="1377">
        <v>70.06</v>
      </c>
      <c r="K95" s="1377"/>
      <c r="L95" s="1378">
        <f t="shared" si="14"/>
        <v>70.06</v>
      </c>
      <c r="M95" s="1380">
        <v>55</v>
      </c>
      <c r="N95" s="1380"/>
      <c r="O95" s="1380">
        <f t="shared" si="24"/>
        <v>3853.3</v>
      </c>
      <c r="P95" s="1069">
        <f t="shared" si="15"/>
        <v>0</v>
      </c>
      <c r="Q95" s="1069">
        <f t="shared" si="16"/>
        <v>0</v>
      </c>
      <c r="R95" s="1069">
        <f t="shared" si="17"/>
        <v>0</v>
      </c>
      <c r="S95" s="1069">
        <f t="shared" si="18"/>
        <v>0</v>
      </c>
      <c r="T95" s="1069">
        <f t="shared" si="19"/>
        <v>0</v>
      </c>
      <c r="U95" s="1069">
        <f t="shared" si="19"/>
        <v>0</v>
      </c>
      <c r="V95" s="1069">
        <f t="shared" si="20"/>
        <v>50.042857142857144</v>
      </c>
      <c r="W95" s="1069">
        <f t="shared" si="21"/>
        <v>0</v>
      </c>
      <c r="X95" s="1378">
        <f t="shared" si="22"/>
        <v>50.042857142857144</v>
      </c>
      <c r="Y95" s="1380">
        <f t="shared" si="23"/>
        <v>77</v>
      </c>
      <c r="Z95" s="1380"/>
      <c r="AA95" s="1380">
        <f t="shared" si="25"/>
        <v>3853.3</v>
      </c>
    </row>
    <row r="96" spans="2:27" hidden="1">
      <c r="B96" s="1375">
        <v>88</v>
      </c>
      <c r="C96" s="1376">
        <v>44926</v>
      </c>
      <c r="D96" s="1069"/>
      <c r="E96" s="1069"/>
      <c r="F96" s="1377"/>
      <c r="G96" s="1377"/>
      <c r="H96" s="1377"/>
      <c r="I96" s="1377"/>
      <c r="J96" s="1377">
        <v>71.94</v>
      </c>
      <c r="K96" s="1377"/>
      <c r="L96" s="1378">
        <f t="shared" si="14"/>
        <v>71.94</v>
      </c>
      <c r="M96" s="1380">
        <v>55</v>
      </c>
      <c r="N96" s="1380"/>
      <c r="O96" s="1380">
        <f t="shared" si="24"/>
        <v>3956.7</v>
      </c>
      <c r="P96" s="1069">
        <f t="shared" si="15"/>
        <v>0</v>
      </c>
      <c r="Q96" s="1069">
        <f t="shared" si="16"/>
        <v>0</v>
      </c>
      <c r="R96" s="1069">
        <f t="shared" si="17"/>
        <v>0</v>
      </c>
      <c r="S96" s="1069">
        <f t="shared" si="18"/>
        <v>0</v>
      </c>
      <c r="T96" s="1069">
        <f t="shared" si="19"/>
        <v>0</v>
      </c>
      <c r="U96" s="1069">
        <f t="shared" si="19"/>
        <v>0</v>
      </c>
      <c r="V96" s="1069">
        <f t="shared" si="20"/>
        <v>51.385714285714286</v>
      </c>
      <c r="W96" s="1069">
        <f t="shared" si="21"/>
        <v>0</v>
      </c>
      <c r="X96" s="1378">
        <f t="shared" si="22"/>
        <v>51.385714285714286</v>
      </c>
      <c r="Y96" s="1380">
        <f t="shared" si="23"/>
        <v>77</v>
      </c>
      <c r="Z96" s="1380"/>
      <c r="AA96" s="1380">
        <f t="shared" si="25"/>
        <v>3956.7</v>
      </c>
    </row>
    <row r="97" spans="2:27" hidden="1">
      <c r="B97" s="1375">
        <v>89</v>
      </c>
      <c r="C97" s="1376">
        <v>44926</v>
      </c>
      <c r="D97" s="1069"/>
      <c r="E97" s="1069"/>
      <c r="F97" s="1377"/>
      <c r="G97" s="1377"/>
      <c r="H97" s="1377"/>
      <c r="I97" s="1377"/>
      <c r="J97" s="1377">
        <v>71.2</v>
      </c>
      <c r="K97" s="1377"/>
      <c r="L97" s="1378">
        <f t="shared" si="14"/>
        <v>71.2</v>
      </c>
      <c r="M97" s="1380">
        <v>55</v>
      </c>
      <c r="N97" s="1380"/>
      <c r="O97" s="1380">
        <f t="shared" si="24"/>
        <v>3916</v>
      </c>
      <c r="P97" s="1069">
        <f t="shared" si="15"/>
        <v>0</v>
      </c>
      <c r="Q97" s="1069">
        <f t="shared" si="16"/>
        <v>0</v>
      </c>
      <c r="R97" s="1069">
        <f t="shared" si="17"/>
        <v>0</v>
      </c>
      <c r="S97" s="1069">
        <f t="shared" si="18"/>
        <v>0</v>
      </c>
      <c r="T97" s="1069">
        <f t="shared" si="19"/>
        <v>0</v>
      </c>
      <c r="U97" s="1069">
        <f t="shared" si="19"/>
        <v>0</v>
      </c>
      <c r="V97" s="1069">
        <f t="shared" si="20"/>
        <v>50.857142857142861</v>
      </c>
      <c r="W97" s="1069">
        <f t="shared" si="21"/>
        <v>0</v>
      </c>
      <c r="X97" s="1378">
        <f t="shared" si="22"/>
        <v>50.857142857142861</v>
      </c>
      <c r="Y97" s="1380">
        <f t="shared" si="23"/>
        <v>77</v>
      </c>
      <c r="Z97" s="1380"/>
      <c r="AA97" s="1380">
        <f t="shared" si="25"/>
        <v>3916.0000000000005</v>
      </c>
    </row>
    <row r="98" spans="2:27" hidden="1">
      <c r="B98" s="1375">
        <v>90</v>
      </c>
      <c r="C98" s="1376">
        <v>44926</v>
      </c>
      <c r="D98" s="1069"/>
      <c r="E98" s="1069"/>
      <c r="F98" s="1377"/>
      <c r="G98" s="1377"/>
      <c r="H98" s="1377"/>
      <c r="I98" s="1377"/>
      <c r="J98" s="1377">
        <v>72.28</v>
      </c>
      <c r="K98" s="1377"/>
      <c r="L98" s="1378">
        <f t="shared" si="14"/>
        <v>72.28</v>
      </c>
      <c r="M98" s="1380">
        <v>55</v>
      </c>
      <c r="N98" s="1380"/>
      <c r="O98" s="1380">
        <f t="shared" si="24"/>
        <v>3975.4</v>
      </c>
      <c r="P98" s="1069">
        <f t="shared" si="15"/>
        <v>0</v>
      </c>
      <c r="Q98" s="1069">
        <f t="shared" si="16"/>
        <v>0</v>
      </c>
      <c r="R98" s="1069">
        <f t="shared" si="17"/>
        <v>0</v>
      </c>
      <c r="S98" s="1069">
        <f t="shared" si="18"/>
        <v>0</v>
      </c>
      <c r="T98" s="1069">
        <f t="shared" si="19"/>
        <v>0</v>
      </c>
      <c r="U98" s="1069">
        <f t="shared" si="19"/>
        <v>0</v>
      </c>
      <c r="V98" s="1069">
        <f t="shared" si="20"/>
        <v>51.628571428571433</v>
      </c>
      <c r="W98" s="1069">
        <f t="shared" si="21"/>
        <v>0</v>
      </c>
      <c r="X98" s="1378">
        <f t="shared" si="22"/>
        <v>51.628571428571433</v>
      </c>
      <c r="Y98" s="1380">
        <f t="shared" si="23"/>
        <v>77</v>
      </c>
      <c r="Z98" s="1380"/>
      <c r="AA98" s="1380">
        <f t="shared" si="25"/>
        <v>3975.4000000000005</v>
      </c>
    </row>
    <row r="99" spans="2:27" hidden="1">
      <c r="B99" s="1375">
        <v>91</v>
      </c>
      <c r="C99" s="1376">
        <v>44926</v>
      </c>
      <c r="D99" s="1069"/>
      <c r="E99" s="1069"/>
      <c r="F99" s="1377"/>
      <c r="G99" s="1377"/>
      <c r="H99" s="1377"/>
      <c r="I99" s="1377"/>
      <c r="J99" s="1377">
        <v>73.08</v>
      </c>
      <c r="K99" s="1377"/>
      <c r="L99" s="1378">
        <f t="shared" si="14"/>
        <v>73.08</v>
      </c>
      <c r="M99" s="1380">
        <v>55</v>
      </c>
      <c r="N99" s="1380"/>
      <c r="O99" s="1380">
        <f t="shared" si="24"/>
        <v>4019.4</v>
      </c>
      <c r="P99" s="1069">
        <f t="shared" si="15"/>
        <v>0</v>
      </c>
      <c r="Q99" s="1069">
        <f t="shared" si="16"/>
        <v>0</v>
      </c>
      <c r="R99" s="1069">
        <f t="shared" si="17"/>
        <v>0</v>
      </c>
      <c r="S99" s="1069">
        <f t="shared" si="18"/>
        <v>0</v>
      </c>
      <c r="T99" s="1069">
        <f t="shared" si="19"/>
        <v>0</v>
      </c>
      <c r="U99" s="1069">
        <f t="shared" si="19"/>
        <v>0</v>
      </c>
      <c r="V99" s="1069">
        <f t="shared" si="20"/>
        <v>52.2</v>
      </c>
      <c r="W99" s="1069">
        <f t="shared" si="21"/>
        <v>0</v>
      </c>
      <c r="X99" s="1378">
        <f t="shared" si="22"/>
        <v>52.2</v>
      </c>
      <c r="Y99" s="1380">
        <f t="shared" si="23"/>
        <v>77</v>
      </c>
      <c r="Z99" s="1380"/>
      <c r="AA99" s="1380">
        <f t="shared" si="25"/>
        <v>4019.4</v>
      </c>
    </row>
    <row r="100" spans="2:27" hidden="1">
      <c r="B100" s="1375">
        <v>92</v>
      </c>
      <c r="C100" s="1376">
        <v>44926</v>
      </c>
      <c r="D100" s="1069"/>
      <c r="E100" s="1069"/>
      <c r="F100" s="1377"/>
      <c r="G100" s="1377"/>
      <c r="H100" s="1377"/>
      <c r="I100" s="1377"/>
      <c r="J100" s="1377">
        <v>70.680000000000007</v>
      </c>
      <c r="K100" s="1377"/>
      <c r="L100" s="1378">
        <f t="shared" si="14"/>
        <v>70.680000000000007</v>
      </c>
      <c r="M100" s="1380">
        <v>55</v>
      </c>
      <c r="N100" s="1380"/>
      <c r="O100" s="1380">
        <f t="shared" si="24"/>
        <v>3887.4000000000005</v>
      </c>
      <c r="P100" s="1069">
        <f t="shared" si="15"/>
        <v>0</v>
      </c>
      <c r="Q100" s="1069">
        <f t="shared" si="16"/>
        <v>0</v>
      </c>
      <c r="R100" s="1069">
        <f t="shared" si="17"/>
        <v>0</v>
      </c>
      <c r="S100" s="1069">
        <f t="shared" si="18"/>
        <v>0</v>
      </c>
      <c r="T100" s="1069">
        <f t="shared" si="19"/>
        <v>0</v>
      </c>
      <c r="U100" s="1069">
        <f t="shared" si="19"/>
        <v>0</v>
      </c>
      <c r="V100" s="1069">
        <f t="shared" si="20"/>
        <v>50.485714285714295</v>
      </c>
      <c r="W100" s="1069">
        <f t="shared" si="21"/>
        <v>0</v>
      </c>
      <c r="X100" s="1378">
        <f t="shared" si="22"/>
        <v>50.485714285714295</v>
      </c>
      <c r="Y100" s="1380">
        <f t="shared" si="23"/>
        <v>77</v>
      </c>
      <c r="Z100" s="1380"/>
      <c r="AA100" s="1380">
        <f t="shared" si="25"/>
        <v>3887.4000000000005</v>
      </c>
    </row>
    <row r="101" spans="2:27" hidden="1">
      <c r="B101" s="1375">
        <v>93</v>
      </c>
      <c r="C101" s="1376">
        <v>44926</v>
      </c>
      <c r="D101" s="1069"/>
      <c r="E101" s="1069"/>
      <c r="F101" s="1377"/>
      <c r="G101" s="1377"/>
      <c r="H101" s="1377"/>
      <c r="I101" s="1377"/>
      <c r="J101" s="1377">
        <v>73.3</v>
      </c>
      <c r="K101" s="1377"/>
      <c r="L101" s="1378">
        <f t="shared" si="14"/>
        <v>73.3</v>
      </c>
      <c r="M101" s="1380">
        <v>55</v>
      </c>
      <c r="N101" s="1380"/>
      <c r="O101" s="1380">
        <f t="shared" si="24"/>
        <v>4031.5</v>
      </c>
      <c r="P101" s="1069">
        <f t="shared" si="15"/>
        <v>0</v>
      </c>
      <c r="Q101" s="1069">
        <f t="shared" si="16"/>
        <v>0</v>
      </c>
      <c r="R101" s="1069">
        <f t="shared" si="17"/>
        <v>0</v>
      </c>
      <c r="S101" s="1069">
        <f t="shared" si="18"/>
        <v>0</v>
      </c>
      <c r="T101" s="1069">
        <f t="shared" si="19"/>
        <v>0</v>
      </c>
      <c r="U101" s="1069">
        <f t="shared" si="19"/>
        <v>0</v>
      </c>
      <c r="V101" s="1069">
        <f t="shared" si="20"/>
        <v>52.357142857142861</v>
      </c>
      <c r="W101" s="1069">
        <f t="shared" si="21"/>
        <v>0</v>
      </c>
      <c r="X101" s="1378">
        <f t="shared" si="22"/>
        <v>52.357142857142861</v>
      </c>
      <c r="Y101" s="1380">
        <f t="shared" si="23"/>
        <v>77</v>
      </c>
      <c r="Z101" s="1380"/>
      <c r="AA101" s="1380">
        <f t="shared" si="25"/>
        <v>4031.5000000000005</v>
      </c>
    </row>
    <row r="102" spans="2:27" hidden="1">
      <c r="B102" s="1375">
        <v>94</v>
      </c>
      <c r="C102" s="1376">
        <v>44926</v>
      </c>
      <c r="D102" s="1069"/>
      <c r="E102" s="1069"/>
      <c r="F102" s="1377"/>
      <c r="G102" s="1377"/>
      <c r="H102" s="1377"/>
      <c r="I102" s="1377"/>
      <c r="J102" s="1377">
        <v>73.02</v>
      </c>
      <c r="K102" s="1377"/>
      <c r="L102" s="1378">
        <f t="shared" si="14"/>
        <v>73.02</v>
      </c>
      <c r="M102" s="1380">
        <v>55</v>
      </c>
      <c r="N102" s="1380"/>
      <c r="O102" s="1380">
        <f t="shared" si="24"/>
        <v>4016.1</v>
      </c>
      <c r="P102" s="1069">
        <f t="shared" si="15"/>
        <v>0</v>
      </c>
      <c r="Q102" s="1069">
        <f t="shared" si="16"/>
        <v>0</v>
      </c>
      <c r="R102" s="1069">
        <f t="shared" si="17"/>
        <v>0</v>
      </c>
      <c r="S102" s="1069">
        <f t="shared" si="18"/>
        <v>0</v>
      </c>
      <c r="T102" s="1069">
        <f t="shared" si="19"/>
        <v>0</v>
      </c>
      <c r="U102" s="1069">
        <f t="shared" si="19"/>
        <v>0</v>
      </c>
      <c r="V102" s="1069">
        <f t="shared" si="20"/>
        <v>52.157142857142858</v>
      </c>
      <c r="W102" s="1069">
        <f t="shared" si="21"/>
        <v>0</v>
      </c>
      <c r="X102" s="1378">
        <f t="shared" si="22"/>
        <v>52.157142857142858</v>
      </c>
      <c r="Y102" s="1380">
        <f t="shared" si="23"/>
        <v>77</v>
      </c>
      <c r="Z102" s="1380"/>
      <c r="AA102" s="1380">
        <f t="shared" si="25"/>
        <v>4016.1</v>
      </c>
    </row>
    <row r="103" spans="2:27" hidden="1">
      <c r="B103" s="1375">
        <v>95</v>
      </c>
      <c r="C103" s="1376">
        <v>44926</v>
      </c>
      <c r="D103" s="1069"/>
      <c r="E103" s="1069"/>
      <c r="F103" s="1377"/>
      <c r="G103" s="1377"/>
      <c r="H103" s="1377"/>
      <c r="I103" s="1377"/>
      <c r="J103" s="1377">
        <v>71.02</v>
      </c>
      <c r="K103" s="1377"/>
      <c r="L103" s="1378">
        <f t="shared" si="14"/>
        <v>71.02</v>
      </c>
      <c r="M103" s="1380">
        <v>55</v>
      </c>
      <c r="N103" s="1380"/>
      <c r="O103" s="1380">
        <f t="shared" si="24"/>
        <v>3906.1</v>
      </c>
      <c r="P103" s="1069">
        <f t="shared" si="15"/>
        <v>0</v>
      </c>
      <c r="Q103" s="1069">
        <f t="shared" si="16"/>
        <v>0</v>
      </c>
      <c r="R103" s="1069">
        <f t="shared" si="17"/>
        <v>0</v>
      </c>
      <c r="S103" s="1069">
        <f t="shared" si="18"/>
        <v>0</v>
      </c>
      <c r="T103" s="1069">
        <f t="shared" si="19"/>
        <v>0</v>
      </c>
      <c r="U103" s="1069">
        <f t="shared" si="19"/>
        <v>0</v>
      </c>
      <c r="V103" s="1069">
        <f t="shared" si="20"/>
        <v>50.728571428571428</v>
      </c>
      <c r="W103" s="1069">
        <f t="shared" si="21"/>
        <v>0</v>
      </c>
      <c r="X103" s="1378">
        <f t="shared" si="22"/>
        <v>50.728571428571428</v>
      </c>
      <c r="Y103" s="1380">
        <f t="shared" si="23"/>
        <v>77</v>
      </c>
      <c r="Z103" s="1380"/>
      <c r="AA103" s="1380">
        <f t="shared" si="25"/>
        <v>3906.1</v>
      </c>
    </row>
    <row r="104" spans="2:27" hidden="1">
      <c r="B104" s="1375">
        <v>96</v>
      </c>
      <c r="C104" s="1376">
        <v>44926</v>
      </c>
      <c r="D104" s="1069"/>
      <c r="E104" s="1069"/>
      <c r="F104" s="1377"/>
      <c r="G104" s="1377"/>
      <c r="H104" s="1377"/>
      <c r="I104" s="1377"/>
      <c r="J104" s="1377">
        <v>71.48</v>
      </c>
      <c r="K104" s="1377"/>
      <c r="L104" s="1378">
        <f t="shared" si="14"/>
        <v>71.48</v>
      </c>
      <c r="M104" s="1380">
        <v>55</v>
      </c>
      <c r="N104" s="1380"/>
      <c r="O104" s="1380">
        <f t="shared" si="24"/>
        <v>3931.4</v>
      </c>
      <c r="P104" s="1069">
        <f t="shared" si="15"/>
        <v>0</v>
      </c>
      <c r="Q104" s="1069">
        <f t="shared" si="16"/>
        <v>0</v>
      </c>
      <c r="R104" s="1069">
        <f t="shared" si="17"/>
        <v>0</v>
      </c>
      <c r="S104" s="1069">
        <f t="shared" si="18"/>
        <v>0</v>
      </c>
      <c r="T104" s="1069">
        <f t="shared" si="19"/>
        <v>0</v>
      </c>
      <c r="U104" s="1069">
        <f t="shared" si="19"/>
        <v>0</v>
      </c>
      <c r="V104" s="1069">
        <f t="shared" si="20"/>
        <v>51.057142857142864</v>
      </c>
      <c r="W104" s="1069">
        <f t="shared" si="21"/>
        <v>0</v>
      </c>
      <c r="X104" s="1378">
        <f t="shared" si="22"/>
        <v>51.057142857142864</v>
      </c>
      <c r="Y104" s="1380">
        <f t="shared" si="23"/>
        <v>77</v>
      </c>
      <c r="Z104" s="1380"/>
      <c r="AA104" s="1380">
        <f t="shared" si="25"/>
        <v>3931.4000000000005</v>
      </c>
    </row>
    <row r="105" spans="2:27" hidden="1">
      <c r="B105" s="1375">
        <v>97</v>
      </c>
      <c r="C105" s="1376">
        <v>44926</v>
      </c>
      <c r="D105" s="1069"/>
      <c r="E105" s="1069"/>
      <c r="F105" s="1377"/>
      <c r="G105" s="1377"/>
      <c r="H105" s="1377"/>
      <c r="I105" s="1377"/>
      <c r="J105" s="1377">
        <v>71.78</v>
      </c>
      <c r="K105" s="1377"/>
      <c r="L105" s="1378">
        <f t="shared" si="14"/>
        <v>71.78</v>
      </c>
      <c r="M105" s="1380">
        <v>55</v>
      </c>
      <c r="N105" s="1380"/>
      <c r="O105" s="1380">
        <f t="shared" si="24"/>
        <v>3947.9</v>
      </c>
      <c r="P105" s="1069">
        <f t="shared" si="15"/>
        <v>0</v>
      </c>
      <c r="Q105" s="1069">
        <f t="shared" si="16"/>
        <v>0</v>
      </c>
      <c r="R105" s="1069">
        <f t="shared" si="17"/>
        <v>0</v>
      </c>
      <c r="S105" s="1069">
        <f t="shared" si="18"/>
        <v>0</v>
      </c>
      <c r="T105" s="1069">
        <f t="shared" si="19"/>
        <v>0</v>
      </c>
      <c r="U105" s="1069">
        <f t="shared" si="19"/>
        <v>0</v>
      </c>
      <c r="V105" s="1069">
        <f t="shared" si="20"/>
        <v>51.271428571428572</v>
      </c>
      <c r="W105" s="1069">
        <f t="shared" si="21"/>
        <v>0</v>
      </c>
      <c r="X105" s="1378">
        <f t="shared" si="22"/>
        <v>51.271428571428572</v>
      </c>
      <c r="Y105" s="1380">
        <f t="shared" si="23"/>
        <v>77</v>
      </c>
      <c r="Z105" s="1380"/>
      <c r="AA105" s="1380">
        <f t="shared" si="25"/>
        <v>3947.9</v>
      </c>
    </row>
    <row r="106" spans="2:27" hidden="1">
      <c r="B106" s="1375">
        <v>98</v>
      </c>
      <c r="C106" s="1376">
        <v>44926</v>
      </c>
      <c r="D106" s="1069"/>
      <c r="E106" s="1069"/>
      <c r="F106" s="1377"/>
      <c r="G106" s="1377"/>
      <c r="H106" s="1377"/>
      <c r="I106" s="1377"/>
      <c r="J106" s="1377">
        <v>72.540000000000006</v>
      </c>
      <c r="K106" s="1377"/>
      <c r="L106" s="1378">
        <f t="shared" si="14"/>
        <v>72.540000000000006</v>
      </c>
      <c r="M106" s="1380">
        <v>55</v>
      </c>
      <c r="N106" s="1380"/>
      <c r="O106" s="1380">
        <f t="shared" si="24"/>
        <v>3989.7000000000003</v>
      </c>
      <c r="P106" s="1069">
        <f t="shared" si="15"/>
        <v>0</v>
      </c>
      <c r="Q106" s="1069">
        <f t="shared" si="16"/>
        <v>0</v>
      </c>
      <c r="R106" s="1069">
        <f t="shared" si="17"/>
        <v>0</v>
      </c>
      <c r="S106" s="1069">
        <f t="shared" si="18"/>
        <v>0</v>
      </c>
      <c r="T106" s="1069">
        <f t="shared" si="19"/>
        <v>0</v>
      </c>
      <c r="U106" s="1069">
        <f t="shared" si="19"/>
        <v>0</v>
      </c>
      <c r="V106" s="1069">
        <f t="shared" si="20"/>
        <v>51.814285714285724</v>
      </c>
      <c r="W106" s="1069">
        <f t="shared" si="21"/>
        <v>0</v>
      </c>
      <c r="X106" s="1378">
        <f t="shared" si="22"/>
        <v>51.814285714285724</v>
      </c>
      <c r="Y106" s="1380">
        <f t="shared" si="23"/>
        <v>77</v>
      </c>
      <c r="Z106" s="1380"/>
      <c r="AA106" s="1380">
        <f t="shared" si="25"/>
        <v>3989.7000000000007</v>
      </c>
    </row>
    <row r="107" spans="2:27" hidden="1">
      <c r="B107" s="1375">
        <v>99</v>
      </c>
      <c r="C107" s="1376">
        <v>44926</v>
      </c>
      <c r="D107" s="1069"/>
      <c r="E107" s="1069"/>
      <c r="F107" s="1377"/>
      <c r="G107" s="1377"/>
      <c r="H107" s="1377"/>
      <c r="I107" s="1377"/>
      <c r="J107" s="1377">
        <v>70.239999999999995</v>
      </c>
      <c r="K107" s="1377"/>
      <c r="L107" s="1378">
        <f t="shared" si="14"/>
        <v>70.239999999999995</v>
      </c>
      <c r="M107" s="1380">
        <v>55</v>
      </c>
      <c r="N107" s="1380"/>
      <c r="O107" s="1380">
        <f t="shared" si="24"/>
        <v>3863.2</v>
      </c>
      <c r="P107" s="1069">
        <f t="shared" si="15"/>
        <v>0</v>
      </c>
      <c r="Q107" s="1069">
        <f t="shared" si="16"/>
        <v>0</v>
      </c>
      <c r="R107" s="1069">
        <f t="shared" si="17"/>
        <v>0</v>
      </c>
      <c r="S107" s="1069">
        <f t="shared" si="18"/>
        <v>0</v>
      </c>
      <c r="T107" s="1069">
        <f t="shared" si="19"/>
        <v>0</v>
      </c>
      <c r="U107" s="1069">
        <f t="shared" si="19"/>
        <v>0</v>
      </c>
      <c r="V107" s="1069">
        <f t="shared" si="20"/>
        <v>50.171428571428571</v>
      </c>
      <c r="W107" s="1069">
        <f t="shared" si="21"/>
        <v>0</v>
      </c>
      <c r="X107" s="1378">
        <f t="shared" si="22"/>
        <v>50.171428571428571</v>
      </c>
      <c r="Y107" s="1380">
        <f t="shared" si="23"/>
        <v>77</v>
      </c>
      <c r="Z107" s="1380"/>
      <c r="AA107" s="1380">
        <f t="shared" si="25"/>
        <v>3863.2</v>
      </c>
    </row>
    <row r="108" spans="2:27" hidden="1">
      <c r="B108" s="1375">
        <v>100</v>
      </c>
      <c r="C108" s="1376">
        <v>44926</v>
      </c>
      <c r="D108" s="1069"/>
      <c r="E108" s="1069"/>
      <c r="F108" s="1377"/>
      <c r="G108" s="1377"/>
      <c r="H108" s="1377"/>
      <c r="I108" s="1377"/>
      <c r="J108" s="1377">
        <v>69.099999999999994</v>
      </c>
      <c r="K108" s="1377"/>
      <c r="L108" s="1378">
        <f t="shared" si="14"/>
        <v>69.099999999999994</v>
      </c>
      <c r="M108" s="1380">
        <v>55</v>
      </c>
      <c r="N108" s="1380"/>
      <c r="O108" s="1380">
        <f t="shared" si="24"/>
        <v>3800.4999999999995</v>
      </c>
      <c r="P108" s="1069">
        <f t="shared" si="15"/>
        <v>0</v>
      </c>
      <c r="Q108" s="1069">
        <f t="shared" si="16"/>
        <v>0</v>
      </c>
      <c r="R108" s="1069">
        <f t="shared" si="17"/>
        <v>0</v>
      </c>
      <c r="S108" s="1069">
        <f t="shared" si="18"/>
        <v>0</v>
      </c>
      <c r="T108" s="1069">
        <f t="shared" si="19"/>
        <v>0</v>
      </c>
      <c r="U108" s="1069">
        <f t="shared" si="19"/>
        <v>0</v>
      </c>
      <c r="V108" s="1069">
        <f t="shared" si="20"/>
        <v>49.357142857142854</v>
      </c>
      <c r="W108" s="1069">
        <f t="shared" si="21"/>
        <v>0</v>
      </c>
      <c r="X108" s="1378">
        <f t="shared" si="22"/>
        <v>49.357142857142854</v>
      </c>
      <c r="Y108" s="1380">
        <f t="shared" si="23"/>
        <v>77</v>
      </c>
      <c r="Z108" s="1380"/>
      <c r="AA108" s="1380">
        <f t="shared" si="25"/>
        <v>3800.4999999999995</v>
      </c>
    </row>
    <row r="109" spans="2:27" hidden="1">
      <c r="B109" s="1375">
        <v>101</v>
      </c>
      <c r="C109" s="1376">
        <v>44926</v>
      </c>
      <c r="D109" s="1069"/>
      <c r="E109" s="1069"/>
      <c r="F109" s="1377"/>
      <c r="G109" s="1377"/>
      <c r="H109" s="1377"/>
      <c r="I109" s="1377"/>
      <c r="J109" s="1377">
        <v>71.06</v>
      </c>
      <c r="K109" s="1377"/>
      <c r="L109" s="1378">
        <f t="shared" si="14"/>
        <v>71.06</v>
      </c>
      <c r="M109" s="1380">
        <v>55</v>
      </c>
      <c r="N109" s="1380"/>
      <c r="O109" s="1380">
        <f t="shared" si="24"/>
        <v>3908.3</v>
      </c>
      <c r="P109" s="1069">
        <f t="shared" si="15"/>
        <v>0</v>
      </c>
      <c r="Q109" s="1069">
        <f t="shared" si="16"/>
        <v>0</v>
      </c>
      <c r="R109" s="1069">
        <f t="shared" si="17"/>
        <v>0</v>
      </c>
      <c r="S109" s="1069">
        <f t="shared" si="18"/>
        <v>0</v>
      </c>
      <c r="T109" s="1069">
        <f t="shared" si="19"/>
        <v>0</v>
      </c>
      <c r="U109" s="1069">
        <f t="shared" si="19"/>
        <v>0</v>
      </c>
      <c r="V109" s="1069">
        <f t="shared" si="20"/>
        <v>50.75714285714286</v>
      </c>
      <c r="W109" s="1069">
        <f t="shared" si="21"/>
        <v>0</v>
      </c>
      <c r="X109" s="1378">
        <f t="shared" si="22"/>
        <v>50.75714285714286</v>
      </c>
      <c r="Y109" s="1380">
        <f t="shared" si="23"/>
        <v>77</v>
      </c>
      <c r="Z109" s="1380"/>
      <c r="AA109" s="1380">
        <f t="shared" si="25"/>
        <v>3908.3</v>
      </c>
    </row>
    <row r="110" spans="2:27" hidden="1">
      <c r="B110" s="1375">
        <v>102</v>
      </c>
      <c r="C110" s="1376">
        <v>44926</v>
      </c>
      <c r="D110" s="1069"/>
      <c r="E110" s="1069"/>
      <c r="F110" s="1377"/>
      <c r="G110" s="1377"/>
      <c r="H110" s="1377"/>
      <c r="I110" s="1377"/>
      <c r="J110" s="1377">
        <v>70.28</v>
      </c>
      <c r="K110" s="1377"/>
      <c r="L110" s="1378">
        <f t="shared" si="14"/>
        <v>70.28</v>
      </c>
      <c r="M110" s="1380">
        <v>55</v>
      </c>
      <c r="N110" s="1380"/>
      <c r="O110" s="1380">
        <f t="shared" si="24"/>
        <v>3865.4</v>
      </c>
      <c r="P110" s="1069">
        <f t="shared" si="15"/>
        <v>0</v>
      </c>
      <c r="Q110" s="1069">
        <f t="shared" si="16"/>
        <v>0</v>
      </c>
      <c r="R110" s="1069">
        <f t="shared" si="17"/>
        <v>0</v>
      </c>
      <c r="S110" s="1069">
        <f t="shared" si="18"/>
        <v>0</v>
      </c>
      <c r="T110" s="1069">
        <f t="shared" si="19"/>
        <v>0</v>
      </c>
      <c r="U110" s="1069">
        <f t="shared" si="19"/>
        <v>0</v>
      </c>
      <c r="V110" s="1069">
        <f t="shared" si="20"/>
        <v>50.2</v>
      </c>
      <c r="W110" s="1069">
        <f t="shared" si="21"/>
        <v>0</v>
      </c>
      <c r="X110" s="1378">
        <f t="shared" si="22"/>
        <v>50.2</v>
      </c>
      <c r="Y110" s="1380">
        <f t="shared" si="23"/>
        <v>77</v>
      </c>
      <c r="Z110" s="1380"/>
      <c r="AA110" s="1380">
        <f t="shared" si="25"/>
        <v>3865.4</v>
      </c>
    </row>
    <row r="111" spans="2:27" hidden="1">
      <c r="B111" s="1375">
        <v>103</v>
      </c>
      <c r="C111" s="1376">
        <v>44926</v>
      </c>
      <c r="D111" s="1069"/>
      <c r="E111" s="1069"/>
      <c r="F111" s="1377"/>
      <c r="G111" s="1377"/>
      <c r="H111" s="1377"/>
      <c r="I111" s="1377"/>
      <c r="J111" s="1377">
        <v>70.66</v>
      </c>
      <c r="K111" s="1377"/>
      <c r="L111" s="1378">
        <f t="shared" si="14"/>
        <v>70.66</v>
      </c>
      <c r="M111" s="1380">
        <v>55</v>
      </c>
      <c r="N111" s="1380"/>
      <c r="O111" s="1380">
        <f t="shared" si="24"/>
        <v>3886.2999999999997</v>
      </c>
      <c r="P111" s="1069">
        <f t="shared" si="15"/>
        <v>0</v>
      </c>
      <c r="Q111" s="1069">
        <f t="shared" si="16"/>
        <v>0</v>
      </c>
      <c r="R111" s="1069">
        <f t="shared" si="17"/>
        <v>0</v>
      </c>
      <c r="S111" s="1069">
        <f t="shared" si="18"/>
        <v>0</v>
      </c>
      <c r="T111" s="1069">
        <f t="shared" si="19"/>
        <v>0</v>
      </c>
      <c r="U111" s="1069">
        <f t="shared" si="19"/>
        <v>0</v>
      </c>
      <c r="V111" s="1069">
        <f t="shared" si="20"/>
        <v>50.471428571428575</v>
      </c>
      <c r="W111" s="1069">
        <f t="shared" si="21"/>
        <v>0</v>
      </c>
      <c r="X111" s="1378">
        <f t="shared" si="22"/>
        <v>50.471428571428575</v>
      </c>
      <c r="Y111" s="1380">
        <f t="shared" si="23"/>
        <v>77</v>
      </c>
      <c r="Z111" s="1380"/>
      <c r="AA111" s="1380">
        <f t="shared" si="25"/>
        <v>3886.3</v>
      </c>
    </row>
    <row r="112" spans="2:27" hidden="1">
      <c r="B112" s="1375">
        <v>104</v>
      </c>
      <c r="C112" s="1376">
        <v>44926</v>
      </c>
      <c r="D112" s="1069"/>
      <c r="E112" s="1069"/>
      <c r="F112" s="1377"/>
      <c r="G112" s="1377"/>
      <c r="H112" s="1377"/>
      <c r="I112" s="1377"/>
      <c r="J112" s="1377">
        <v>69.56</v>
      </c>
      <c r="K112" s="1377"/>
      <c r="L112" s="1378">
        <f t="shared" si="14"/>
        <v>69.56</v>
      </c>
      <c r="M112" s="1380">
        <v>55</v>
      </c>
      <c r="N112" s="1380"/>
      <c r="O112" s="1380">
        <f t="shared" si="24"/>
        <v>3825.8</v>
      </c>
      <c r="P112" s="1069">
        <f t="shared" si="15"/>
        <v>0</v>
      </c>
      <c r="Q112" s="1069">
        <f t="shared" si="16"/>
        <v>0</v>
      </c>
      <c r="R112" s="1069">
        <f t="shared" si="17"/>
        <v>0</v>
      </c>
      <c r="S112" s="1069">
        <f t="shared" si="18"/>
        <v>0</v>
      </c>
      <c r="T112" s="1069">
        <f t="shared" si="19"/>
        <v>0</v>
      </c>
      <c r="U112" s="1069">
        <f t="shared" si="19"/>
        <v>0</v>
      </c>
      <c r="V112" s="1069">
        <f t="shared" si="20"/>
        <v>49.68571428571429</v>
      </c>
      <c r="W112" s="1069">
        <f t="shared" si="21"/>
        <v>0</v>
      </c>
      <c r="X112" s="1378">
        <f t="shared" si="22"/>
        <v>49.68571428571429</v>
      </c>
      <c r="Y112" s="1380">
        <f t="shared" si="23"/>
        <v>77</v>
      </c>
      <c r="Z112" s="1380"/>
      <c r="AA112" s="1380">
        <f t="shared" si="25"/>
        <v>3825.8</v>
      </c>
    </row>
    <row r="113" spans="2:27" hidden="1">
      <c r="B113" s="1375">
        <v>105</v>
      </c>
      <c r="C113" s="1376">
        <v>44926</v>
      </c>
      <c r="D113" s="1069"/>
      <c r="E113" s="1069"/>
      <c r="F113" s="1377"/>
      <c r="G113" s="1377"/>
      <c r="H113" s="1377"/>
      <c r="I113" s="1377"/>
      <c r="J113" s="1377">
        <v>47.3</v>
      </c>
      <c r="K113" s="1377"/>
      <c r="L113" s="1378">
        <f t="shared" si="14"/>
        <v>47.3</v>
      </c>
      <c r="M113" s="1380">
        <v>55</v>
      </c>
      <c r="N113" s="1380"/>
      <c r="O113" s="1380">
        <f t="shared" si="24"/>
        <v>2601.5</v>
      </c>
      <c r="P113" s="1069">
        <f t="shared" si="15"/>
        <v>0</v>
      </c>
      <c r="Q113" s="1069">
        <f t="shared" si="16"/>
        <v>0</v>
      </c>
      <c r="R113" s="1069">
        <f t="shared" si="17"/>
        <v>0</v>
      </c>
      <c r="S113" s="1069">
        <f t="shared" si="18"/>
        <v>0</v>
      </c>
      <c r="T113" s="1069">
        <f t="shared" si="19"/>
        <v>0</v>
      </c>
      <c r="U113" s="1069">
        <f t="shared" si="19"/>
        <v>0</v>
      </c>
      <c r="V113" s="1069">
        <f t="shared" si="20"/>
        <v>33.785714285714285</v>
      </c>
      <c r="W113" s="1069">
        <f t="shared" si="21"/>
        <v>0</v>
      </c>
      <c r="X113" s="1378">
        <f t="shared" si="22"/>
        <v>33.785714285714285</v>
      </c>
      <c r="Y113" s="1380">
        <f t="shared" si="23"/>
        <v>77</v>
      </c>
      <c r="Z113" s="1380"/>
      <c r="AA113" s="1380">
        <f t="shared" si="25"/>
        <v>2601.5</v>
      </c>
    </row>
    <row r="114" spans="2:27" hidden="1">
      <c r="B114" s="1375">
        <v>106</v>
      </c>
      <c r="C114" s="1376">
        <v>44926</v>
      </c>
      <c r="D114" s="1069"/>
      <c r="E114" s="1069"/>
      <c r="F114" s="1377"/>
      <c r="G114" s="1377"/>
      <c r="H114" s="1377"/>
      <c r="I114" s="1377"/>
      <c r="J114" s="1377">
        <v>72.319999999999993</v>
      </c>
      <c r="K114" s="1377"/>
      <c r="L114" s="1378">
        <f t="shared" si="14"/>
        <v>72.319999999999993</v>
      </c>
      <c r="M114" s="1380">
        <v>55</v>
      </c>
      <c r="N114" s="1380"/>
      <c r="O114" s="1380">
        <f t="shared" si="24"/>
        <v>3977.5999999999995</v>
      </c>
      <c r="P114" s="1069">
        <f t="shared" si="15"/>
        <v>0</v>
      </c>
      <c r="Q114" s="1069">
        <f t="shared" si="16"/>
        <v>0</v>
      </c>
      <c r="R114" s="1069">
        <f t="shared" si="17"/>
        <v>0</v>
      </c>
      <c r="S114" s="1069">
        <f t="shared" si="18"/>
        <v>0</v>
      </c>
      <c r="T114" s="1069">
        <f t="shared" si="19"/>
        <v>0</v>
      </c>
      <c r="U114" s="1069">
        <f t="shared" si="19"/>
        <v>0</v>
      </c>
      <c r="V114" s="1069">
        <f t="shared" si="20"/>
        <v>51.657142857142858</v>
      </c>
      <c r="W114" s="1069">
        <f t="shared" si="21"/>
        <v>0</v>
      </c>
      <c r="X114" s="1378">
        <f t="shared" si="22"/>
        <v>51.657142857142858</v>
      </c>
      <c r="Y114" s="1380">
        <f t="shared" si="23"/>
        <v>77</v>
      </c>
      <c r="Z114" s="1380"/>
      <c r="AA114" s="1380">
        <f t="shared" si="25"/>
        <v>3977.6</v>
      </c>
    </row>
    <row r="115" spans="2:27" hidden="1">
      <c r="B115" s="1375">
        <v>107</v>
      </c>
      <c r="C115" s="1376">
        <v>44926</v>
      </c>
      <c r="D115" s="1069"/>
      <c r="E115" s="1069"/>
      <c r="F115" s="1377"/>
      <c r="G115" s="1377"/>
      <c r="H115" s="1377"/>
      <c r="I115" s="1377"/>
      <c r="J115" s="1377">
        <v>66.14</v>
      </c>
      <c r="K115" s="1377"/>
      <c r="L115" s="1378">
        <f t="shared" si="14"/>
        <v>66.14</v>
      </c>
      <c r="M115" s="1380">
        <v>55</v>
      </c>
      <c r="N115" s="1380"/>
      <c r="O115" s="1380">
        <f t="shared" si="24"/>
        <v>3637.7</v>
      </c>
      <c r="P115" s="1069">
        <f t="shared" si="15"/>
        <v>0</v>
      </c>
      <c r="Q115" s="1069">
        <f t="shared" si="16"/>
        <v>0</v>
      </c>
      <c r="R115" s="1069">
        <f t="shared" si="17"/>
        <v>0</v>
      </c>
      <c r="S115" s="1069">
        <f t="shared" si="18"/>
        <v>0</v>
      </c>
      <c r="T115" s="1069">
        <f t="shared" si="19"/>
        <v>0</v>
      </c>
      <c r="U115" s="1069">
        <f t="shared" si="19"/>
        <v>0</v>
      </c>
      <c r="V115" s="1069">
        <f t="shared" si="20"/>
        <v>47.242857142857147</v>
      </c>
      <c r="W115" s="1069">
        <f t="shared" si="21"/>
        <v>0</v>
      </c>
      <c r="X115" s="1378">
        <f t="shared" si="22"/>
        <v>47.242857142857147</v>
      </c>
      <c r="Y115" s="1380">
        <f t="shared" si="23"/>
        <v>77</v>
      </c>
      <c r="Z115" s="1380"/>
      <c r="AA115" s="1380">
        <f t="shared" si="25"/>
        <v>3637.7000000000003</v>
      </c>
    </row>
    <row r="116" spans="2:27" hidden="1">
      <c r="B116" s="1375">
        <v>108</v>
      </c>
      <c r="C116" s="1376">
        <v>44926</v>
      </c>
      <c r="D116" s="1069"/>
      <c r="E116" s="1069"/>
      <c r="F116" s="1377"/>
      <c r="G116" s="1377"/>
      <c r="H116" s="1377"/>
      <c r="I116" s="1377"/>
      <c r="J116" s="1377">
        <v>69.78</v>
      </c>
      <c r="K116" s="1377"/>
      <c r="L116" s="1378">
        <f t="shared" si="14"/>
        <v>69.78</v>
      </c>
      <c r="M116" s="1380">
        <v>55</v>
      </c>
      <c r="N116" s="1380"/>
      <c r="O116" s="1380">
        <f t="shared" si="24"/>
        <v>3837.9</v>
      </c>
      <c r="P116" s="1069">
        <f t="shared" si="15"/>
        <v>0</v>
      </c>
      <c r="Q116" s="1069">
        <f t="shared" si="16"/>
        <v>0</v>
      </c>
      <c r="R116" s="1069">
        <f t="shared" si="17"/>
        <v>0</v>
      </c>
      <c r="S116" s="1069">
        <f t="shared" si="18"/>
        <v>0</v>
      </c>
      <c r="T116" s="1069">
        <f t="shared" si="19"/>
        <v>0</v>
      </c>
      <c r="U116" s="1069">
        <f t="shared" si="19"/>
        <v>0</v>
      </c>
      <c r="V116" s="1069">
        <f t="shared" si="20"/>
        <v>49.842857142857149</v>
      </c>
      <c r="W116" s="1069">
        <f t="shared" si="21"/>
        <v>0</v>
      </c>
      <c r="X116" s="1378">
        <f t="shared" si="22"/>
        <v>49.842857142857149</v>
      </c>
      <c r="Y116" s="1380">
        <f t="shared" si="23"/>
        <v>77</v>
      </c>
      <c r="Z116" s="1380"/>
      <c r="AA116" s="1380">
        <f t="shared" si="25"/>
        <v>3837.9000000000005</v>
      </c>
    </row>
    <row r="117" spans="2:27" hidden="1">
      <c r="B117" s="1375">
        <v>109</v>
      </c>
      <c r="C117" s="1376">
        <v>44926</v>
      </c>
      <c r="D117" s="1069"/>
      <c r="E117" s="1069"/>
      <c r="F117" s="1377"/>
      <c r="G117" s="1377"/>
      <c r="H117" s="1377"/>
      <c r="I117" s="1377"/>
      <c r="J117" s="1377">
        <v>69.3</v>
      </c>
      <c r="K117" s="1377"/>
      <c r="L117" s="1378">
        <f t="shared" si="14"/>
        <v>69.3</v>
      </c>
      <c r="M117" s="1380">
        <v>55</v>
      </c>
      <c r="N117" s="1380"/>
      <c r="O117" s="1380">
        <f t="shared" si="24"/>
        <v>3811.5</v>
      </c>
      <c r="P117" s="1069">
        <f t="shared" si="15"/>
        <v>0</v>
      </c>
      <c r="Q117" s="1069">
        <f t="shared" si="16"/>
        <v>0</v>
      </c>
      <c r="R117" s="1069">
        <f t="shared" si="17"/>
        <v>0</v>
      </c>
      <c r="S117" s="1069">
        <f t="shared" si="18"/>
        <v>0</v>
      </c>
      <c r="T117" s="1069">
        <f t="shared" si="19"/>
        <v>0</v>
      </c>
      <c r="U117" s="1069">
        <f t="shared" si="19"/>
        <v>0</v>
      </c>
      <c r="V117" s="1069">
        <f t="shared" si="20"/>
        <v>49.5</v>
      </c>
      <c r="W117" s="1069">
        <f t="shared" si="21"/>
        <v>0</v>
      </c>
      <c r="X117" s="1378">
        <f t="shared" si="22"/>
        <v>49.5</v>
      </c>
      <c r="Y117" s="1380">
        <f t="shared" si="23"/>
        <v>77</v>
      </c>
      <c r="Z117" s="1380"/>
      <c r="AA117" s="1380">
        <f t="shared" si="25"/>
        <v>3811.5</v>
      </c>
    </row>
    <row r="118" spans="2:27" hidden="1">
      <c r="B118" s="1375">
        <v>110</v>
      </c>
      <c r="C118" s="1376">
        <v>44926</v>
      </c>
      <c r="D118" s="1069"/>
      <c r="E118" s="1069"/>
      <c r="F118" s="1377"/>
      <c r="G118" s="1377"/>
      <c r="H118" s="1377"/>
      <c r="I118" s="1377"/>
      <c r="J118" s="1377">
        <v>69.72</v>
      </c>
      <c r="K118" s="1377"/>
      <c r="L118" s="1378">
        <f t="shared" si="14"/>
        <v>69.72</v>
      </c>
      <c r="M118" s="1380">
        <v>55</v>
      </c>
      <c r="N118" s="1380"/>
      <c r="O118" s="1380">
        <f t="shared" si="24"/>
        <v>3834.6</v>
      </c>
      <c r="P118" s="1069">
        <f t="shared" si="15"/>
        <v>0</v>
      </c>
      <c r="Q118" s="1069">
        <f t="shared" si="16"/>
        <v>0</v>
      </c>
      <c r="R118" s="1069">
        <f t="shared" si="17"/>
        <v>0</v>
      </c>
      <c r="S118" s="1069">
        <f t="shared" si="18"/>
        <v>0</v>
      </c>
      <c r="T118" s="1069">
        <f t="shared" si="19"/>
        <v>0</v>
      </c>
      <c r="U118" s="1069">
        <f t="shared" si="19"/>
        <v>0</v>
      </c>
      <c r="V118" s="1069">
        <f t="shared" si="20"/>
        <v>49.800000000000004</v>
      </c>
      <c r="W118" s="1069">
        <f t="shared" si="21"/>
        <v>0</v>
      </c>
      <c r="X118" s="1378">
        <f t="shared" si="22"/>
        <v>49.800000000000004</v>
      </c>
      <c r="Y118" s="1380">
        <f t="shared" si="23"/>
        <v>77</v>
      </c>
      <c r="Z118" s="1380"/>
      <c r="AA118" s="1380">
        <f t="shared" si="25"/>
        <v>3834.6000000000004</v>
      </c>
    </row>
    <row r="119" spans="2:27" hidden="1">
      <c r="B119" s="1375">
        <v>111</v>
      </c>
      <c r="C119" s="1376">
        <v>44926</v>
      </c>
      <c r="D119" s="1069"/>
      <c r="E119" s="1069"/>
      <c r="F119" s="1377"/>
      <c r="G119" s="1377"/>
      <c r="H119" s="1377"/>
      <c r="I119" s="1377"/>
      <c r="J119" s="1377">
        <v>74.14</v>
      </c>
      <c r="K119" s="1377"/>
      <c r="L119" s="1378">
        <f t="shared" si="14"/>
        <v>74.14</v>
      </c>
      <c r="M119" s="1380">
        <v>55</v>
      </c>
      <c r="N119" s="1380"/>
      <c r="O119" s="1380">
        <f t="shared" si="24"/>
        <v>4077.7</v>
      </c>
      <c r="P119" s="1069">
        <f t="shared" si="15"/>
        <v>0</v>
      </c>
      <c r="Q119" s="1069">
        <f t="shared" si="16"/>
        <v>0</v>
      </c>
      <c r="R119" s="1069">
        <f t="shared" si="17"/>
        <v>0</v>
      </c>
      <c r="S119" s="1069">
        <f t="shared" si="18"/>
        <v>0</v>
      </c>
      <c r="T119" s="1069">
        <f t="shared" si="19"/>
        <v>0</v>
      </c>
      <c r="U119" s="1069">
        <f t="shared" si="19"/>
        <v>0</v>
      </c>
      <c r="V119" s="1069">
        <f t="shared" si="20"/>
        <v>52.957142857142863</v>
      </c>
      <c r="W119" s="1069">
        <f t="shared" si="21"/>
        <v>0</v>
      </c>
      <c r="X119" s="1378">
        <f t="shared" si="22"/>
        <v>52.957142857142863</v>
      </c>
      <c r="Y119" s="1380">
        <f t="shared" si="23"/>
        <v>77</v>
      </c>
      <c r="Z119" s="1380"/>
      <c r="AA119" s="1380">
        <f t="shared" si="25"/>
        <v>4077.7000000000003</v>
      </c>
    </row>
    <row r="120" spans="2:27" hidden="1">
      <c r="B120" s="1375">
        <v>112</v>
      </c>
      <c r="C120" s="1376">
        <v>44926</v>
      </c>
      <c r="D120" s="1069"/>
      <c r="E120" s="1069"/>
      <c r="F120" s="1377"/>
      <c r="G120" s="1377"/>
      <c r="H120" s="1377"/>
      <c r="I120" s="1377"/>
      <c r="J120" s="1377">
        <v>72.86</v>
      </c>
      <c r="K120" s="1377"/>
      <c r="L120" s="1378">
        <f t="shared" si="14"/>
        <v>72.86</v>
      </c>
      <c r="M120" s="1380">
        <v>55</v>
      </c>
      <c r="N120" s="1380"/>
      <c r="O120" s="1380">
        <f t="shared" si="24"/>
        <v>4007.3</v>
      </c>
      <c r="P120" s="1069">
        <f t="shared" si="15"/>
        <v>0</v>
      </c>
      <c r="Q120" s="1069">
        <f t="shared" si="16"/>
        <v>0</v>
      </c>
      <c r="R120" s="1069">
        <f t="shared" si="17"/>
        <v>0</v>
      </c>
      <c r="S120" s="1069">
        <f t="shared" si="18"/>
        <v>0</v>
      </c>
      <c r="T120" s="1069">
        <f t="shared" si="19"/>
        <v>0</v>
      </c>
      <c r="U120" s="1069">
        <f t="shared" si="19"/>
        <v>0</v>
      </c>
      <c r="V120" s="1069">
        <f t="shared" si="20"/>
        <v>52.042857142857144</v>
      </c>
      <c r="W120" s="1069">
        <f t="shared" si="21"/>
        <v>0</v>
      </c>
      <c r="X120" s="1378">
        <f t="shared" si="22"/>
        <v>52.042857142857144</v>
      </c>
      <c r="Y120" s="1380">
        <f t="shared" si="23"/>
        <v>77</v>
      </c>
      <c r="Z120" s="1380"/>
      <c r="AA120" s="1380">
        <f t="shared" si="25"/>
        <v>4007.3</v>
      </c>
    </row>
    <row r="121" spans="2:27" hidden="1">
      <c r="B121" s="1375">
        <v>113</v>
      </c>
      <c r="C121" s="1376">
        <v>44926</v>
      </c>
      <c r="D121" s="1069"/>
      <c r="E121" s="1069"/>
      <c r="F121" s="1377"/>
      <c r="G121" s="1377"/>
      <c r="H121" s="1377"/>
      <c r="I121" s="1377"/>
      <c r="J121" s="1377">
        <v>72.459999999999994</v>
      </c>
      <c r="K121" s="1377"/>
      <c r="L121" s="1378">
        <f t="shared" si="14"/>
        <v>72.459999999999994</v>
      </c>
      <c r="M121" s="1380">
        <v>55</v>
      </c>
      <c r="N121" s="1380"/>
      <c r="O121" s="1380">
        <f t="shared" si="24"/>
        <v>3985.2999999999997</v>
      </c>
      <c r="P121" s="1069">
        <f t="shared" si="15"/>
        <v>0</v>
      </c>
      <c r="Q121" s="1069">
        <f t="shared" si="16"/>
        <v>0</v>
      </c>
      <c r="R121" s="1069">
        <f t="shared" si="17"/>
        <v>0</v>
      </c>
      <c r="S121" s="1069">
        <f t="shared" si="18"/>
        <v>0</v>
      </c>
      <c r="T121" s="1069">
        <f t="shared" si="19"/>
        <v>0</v>
      </c>
      <c r="U121" s="1069">
        <f t="shared" si="19"/>
        <v>0</v>
      </c>
      <c r="V121" s="1069">
        <f t="shared" si="20"/>
        <v>51.757142857142853</v>
      </c>
      <c r="W121" s="1069">
        <f t="shared" si="21"/>
        <v>0</v>
      </c>
      <c r="X121" s="1378">
        <f t="shared" si="22"/>
        <v>51.757142857142853</v>
      </c>
      <c r="Y121" s="1380">
        <f t="shared" si="23"/>
        <v>77</v>
      </c>
      <c r="Z121" s="1380"/>
      <c r="AA121" s="1380">
        <f t="shared" si="25"/>
        <v>3985.2999999999997</v>
      </c>
    </row>
    <row r="122" spans="2:27" hidden="1">
      <c r="B122" s="1375">
        <v>114</v>
      </c>
      <c r="C122" s="1376">
        <v>44926</v>
      </c>
      <c r="D122" s="1069"/>
      <c r="E122" s="1069"/>
      <c r="F122" s="1377"/>
      <c r="G122" s="1377"/>
      <c r="H122" s="1377"/>
      <c r="I122" s="1377"/>
      <c r="J122" s="1377">
        <v>73.06</v>
      </c>
      <c r="K122" s="1377"/>
      <c r="L122" s="1378">
        <f t="shared" si="14"/>
        <v>73.06</v>
      </c>
      <c r="M122" s="1380">
        <v>55</v>
      </c>
      <c r="N122" s="1380"/>
      <c r="O122" s="1380">
        <f t="shared" si="24"/>
        <v>4018.3</v>
      </c>
      <c r="P122" s="1069">
        <f t="shared" si="15"/>
        <v>0</v>
      </c>
      <c r="Q122" s="1069">
        <f t="shared" si="16"/>
        <v>0</v>
      </c>
      <c r="R122" s="1069">
        <f t="shared" si="17"/>
        <v>0</v>
      </c>
      <c r="S122" s="1069">
        <f t="shared" si="18"/>
        <v>0</v>
      </c>
      <c r="T122" s="1069">
        <f t="shared" si="19"/>
        <v>0</v>
      </c>
      <c r="U122" s="1069">
        <f t="shared" si="19"/>
        <v>0</v>
      </c>
      <c r="V122" s="1069">
        <f t="shared" si="20"/>
        <v>52.18571428571429</v>
      </c>
      <c r="W122" s="1069">
        <f t="shared" si="21"/>
        <v>0</v>
      </c>
      <c r="X122" s="1378">
        <f t="shared" si="22"/>
        <v>52.18571428571429</v>
      </c>
      <c r="Y122" s="1380">
        <f t="shared" si="23"/>
        <v>77</v>
      </c>
      <c r="Z122" s="1380"/>
      <c r="AA122" s="1380">
        <f t="shared" si="25"/>
        <v>4018.3</v>
      </c>
    </row>
    <row r="123" spans="2:27" hidden="1">
      <c r="B123" s="1375">
        <v>115</v>
      </c>
      <c r="C123" s="1376">
        <v>44926</v>
      </c>
      <c r="D123" s="1069"/>
      <c r="E123" s="1069"/>
      <c r="F123" s="1377"/>
      <c r="G123" s="1377"/>
      <c r="H123" s="1377"/>
      <c r="I123" s="1377"/>
      <c r="J123" s="1377">
        <v>74.239999999999995</v>
      </c>
      <c r="K123" s="1377"/>
      <c r="L123" s="1378">
        <f t="shared" si="14"/>
        <v>74.239999999999995</v>
      </c>
      <c r="M123" s="1380">
        <v>55</v>
      </c>
      <c r="N123" s="1380"/>
      <c r="O123" s="1380">
        <f t="shared" si="24"/>
        <v>4083.2</v>
      </c>
      <c r="P123" s="1069">
        <f t="shared" si="15"/>
        <v>0</v>
      </c>
      <c r="Q123" s="1069">
        <f t="shared" si="16"/>
        <v>0</v>
      </c>
      <c r="R123" s="1069">
        <f t="shared" si="17"/>
        <v>0</v>
      </c>
      <c r="S123" s="1069">
        <f t="shared" si="18"/>
        <v>0</v>
      </c>
      <c r="T123" s="1069">
        <f t="shared" si="19"/>
        <v>0</v>
      </c>
      <c r="U123" s="1069">
        <f t="shared" si="19"/>
        <v>0</v>
      </c>
      <c r="V123" s="1069">
        <f t="shared" si="20"/>
        <v>53.028571428571425</v>
      </c>
      <c r="W123" s="1069">
        <f t="shared" si="21"/>
        <v>0</v>
      </c>
      <c r="X123" s="1378">
        <f t="shared" si="22"/>
        <v>53.028571428571425</v>
      </c>
      <c r="Y123" s="1380">
        <f t="shared" si="23"/>
        <v>77</v>
      </c>
      <c r="Z123" s="1380"/>
      <c r="AA123" s="1380">
        <f t="shared" si="25"/>
        <v>4083.2</v>
      </c>
    </row>
    <row r="124" spans="2:27" hidden="1">
      <c r="B124" s="1375">
        <v>116</v>
      </c>
      <c r="C124" s="1376">
        <v>44926</v>
      </c>
      <c r="D124" s="1069"/>
      <c r="E124" s="1069"/>
      <c r="F124" s="1377"/>
      <c r="G124" s="1377"/>
      <c r="H124" s="1377"/>
      <c r="I124" s="1377"/>
      <c r="J124" s="1377">
        <v>69.680000000000007</v>
      </c>
      <c r="K124" s="1377"/>
      <c r="L124" s="1378">
        <f t="shared" si="14"/>
        <v>69.680000000000007</v>
      </c>
      <c r="M124" s="1380">
        <v>55</v>
      </c>
      <c r="N124" s="1380"/>
      <c r="O124" s="1380">
        <f t="shared" si="24"/>
        <v>3832.4000000000005</v>
      </c>
      <c r="P124" s="1069">
        <f t="shared" si="15"/>
        <v>0</v>
      </c>
      <c r="Q124" s="1069">
        <f t="shared" si="16"/>
        <v>0</v>
      </c>
      <c r="R124" s="1069">
        <f t="shared" si="17"/>
        <v>0</v>
      </c>
      <c r="S124" s="1069">
        <f t="shared" si="18"/>
        <v>0</v>
      </c>
      <c r="T124" s="1069">
        <f t="shared" si="19"/>
        <v>0</v>
      </c>
      <c r="U124" s="1069">
        <f t="shared" si="19"/>
        <v>0</v>
      </c>
      <c r="V124" s="1069">
        <f t="shared" si="20"/>
        <v>49.771428571428579</v>
      </c>
      <c r="W124" s="1069">
        <f t="shared" si="21"/>
        <v>0</v>
      </c>
      <c r="X124" s="1378">
        <f t="shared" si="22"/>
        <v>49.771428571428579</v>
      </c>
      <c r="Y124" s="1380">
        <f t="shared" si="23"/>
        <v>77</v>
      </c>
      <c r="Z124" s="1380"/>
      <c r="AA124" s="1380">
        <f t="shared" si="25"/>
        <v>3832.4000000000005</v>
      </c>
    </row>
    <row r="125" spans="2:27" hidden="1">
      <c r="B125" s="1375">
        <v>117</v>
      </c>
      <c r="C125" s="1376">
        <v>44926</v>
      </c>
      <c r="D125" s="1069"/>
      <c r="E125" s="1069"/>
      <c r="F125" s="1377"/>
      <c r="G125" s="1377"/>
      <c r="H125" s="1377"/>
      <c r="I125" s="1377"/>
      <c r="J125" s="1377">
        <v>74.540000000000006</v>
      </c>
      <c r="K125" s="1377"/>
      <c r="L125" s="1378">
        <f t="shared" si="14"/>
        <v>74.540000000000006</v>
      </c>
      <c r="M125" s="1380">
        <v>55</v>
      </c>
      <c r="N125" s="1380"/>
      <c r="O125" s="1380">
        <f t="shared" si="24"/>
        <v>4099.7000000000007</v>
      </c>
      <c r="P125" s="1069">
        <f t="shared" si="15"/>
        <v>0</v>
      </c>
      <c r="Q125" s="1069">
        <f t="shared" si="16"/>
        <v>0</v>
      </c>
      <c r="R125" s="1069">
        <f t="shared" si="17"/>
        <v>0</v>
      </c>
      <c r="S125" s="1069">
        <f t="shared" si="18"/>
        <v>0</v>
      </c>
      <c r="T125" s="1069">
        <f t="shared" si="19"/>
        <v>0</v>
      </c>
      <c r="U125" s="1069">
        <f t="shared" si="19"/>
        <v>0</v>
      </c>
      <c r="V125" s="1069">
        <f t="shared" si="20"/>
        <v>53.242857142857147</v>
      </c>
      <c r="W125" s="1069">
        <f t="shared" si="21"/>
        <v>0</v>
      </c>
      <c r="X125" s="1378">
        <f t="shared" si="22"/>
        <v>53.242857142857147</v>
      </c>
      <c r="Y125" s="1380">
        <f t="shared" si="23"/>
        <v>77</v>
      </c>
      <c r="Z125" s="1380"/>
      <c r="AA125" s="1380">
        <f t="shared" si="25"/>
        <v>4099.7000000000007</v>
      </c>
    </row>
    <row r="126" spans="2:27" hidden="1">
      <c r="B126" s="1375">
        <v>118</v>
      </c>
      <c r="C126" s="1376">
        <v>44926</v>
      </c>
      <c r="D126" s="1069"/>
      <c r="E126" s="1069"/>
      <c r="F126" s="1377"/>
      <c r="G126" s="1377"/>
      <c r="H126" s="1377"/>
      <c r="I126" s="1377"/>
      <c r="J126" s="1377">
        <v>70.900000000000006</v>
      </c>
      <c r="K126" s="1377"/>
      <c r="L126" s="1378">
        <f t="shared" si="14"/>
        <v>70.900000000000006</v>
      </c>
      <c r="M126" s="1380">
        <v>55</v>
      </c>
      <c r="N126" s="1380"/>
      <c r="O126" s="1380">
        <f t="shared" si="24"/>
        <v>3899.5000000000005</v>
      </c>
      <c r="P126" s="1069">
        <f t="shared" si="15"/>
        <v>0</v>
      </c>
      <c r="Q126" s="1069">
        <f t="shared" si="16"/>
        <v>0</v>
      </c>
      <c r="R126" s="1069">
        <f t="shared" si="17"/>
        <v>0</v>
      </c>
      <c r="S126" s="1069">
        <f t="shared" si="18"/>
        <v>0</v>
      </c>
      <c r="T126" s="1069">
        <f t="shared" si="19"/>
        <v>0</v>
      </c>
      <c r="U126" s="1069">
        <f t="shared" si="19"/>
        <v>0</v>
      </c>
      <c r="V126" s="1069">
        <f t="shared" si="20"/>
        <v>50.642857142857153</v>
      </c>
      <c r="W126" s="1069">
        <f t="shared" si="21"/>
        <v>0</v>
      </c>
      <c r="X126" s="1378">
        <f t="shared" si="22"/>
        <v>50.642857142857153</v>
      </c>
      <c r="Y126" s="1380">
        <f t="shared" si="23"/>
        <v>77</v>
      </c>
      <c r="Z126" s="1380"/>
      <c r="AA126" s="1380">
        <f t="shared" si="25"/>
        <v>3899.5000000000009</v>
      </c>
    </row>
    <row r="127" spans="2:27" hidden="1">
      <c r="B127" s="1375">
        <v>119</v>
      </c>
      <c r="C127" s="1376">
        <v>44926</v>
      </c>
      <c r="D127" s="1069"/>
      <c r="E127" s="1069"/>
      <c r="F127" s="1377"/>
      <c r="G127" s="1377"/>
      <c r="H127" s="1377"/>
      <c r="I127" s="1377"/>
      <c r="J127" s="1377">
        <v>71.62</v>
      </c>
      <c r="K127" s="1377"/>
      <c r="L127" s="1378">
        <f t="shared" si="14"/>
        <v>71.62</v>
      </c>
      <c r="M127" s="1380">
        <v>55</v>
      </c>
      <c r="N127" s="1380"/>
      <c r="O127" s="1380">
        <f t="shared" si="24"/>
        <v>3939.1000000000004</v>
      </c>
      <c r="P127" s="1069">
        <f t="shared" si="15"/>
        <v>0</v>
      </c>
      <c r="Q127" s="1069">
        <f t="shared" si="16"/>
        <v>0</v>
      </c>
      <c r="R127" s="1069">
        <f t="shared" si="17"/>
        <v>0</v>
      </c>
      <c r="S127" s="1069">
        <f t="shared" si="18"/>
        <v>0</v>
      </c>
      <c r="T127" s="1069">
        <f t="shared" si="19"/>
        <v>0</v>
      </c>
      <c r="U127" s="1069">
        <f t="shared" si="19"/>
        <v>0</v>
      </c>
      <c r="V127" s="1069">
        <f t="shared" si="20"/>
        <v>51.157142857142865</v>
      </c>
      <c r="W127" s="1069">
        <f t="shared" si="21"/>
        <v>0</v>
      </c>
      <c r="X127" s="1378">
        <f t="shared" si="22"/>
        <v>51.157142857142865</v>
      </c>
      <c r="Y127" s="1380">
        <f t="shared" si="23"/>
        <v>77</v>
      </c>
      <c r="Z127" s="1380"/>
      <c r="AA127" s="1380">
        <f t="shared" si="25"/>
        <v>3939.1000000000008</v>
      </c>
    </row>
    <row r="128" spans="2:27" hidden="1">
      <c r="B128" s="1375">
        <v>120</v>
      </c>
      <c r="C128" s="1376">
        <v>44926</v>
      </c>
      <c r="D128" s="1069"/>
      <c r="E128" s="1069"/>
      <c r="F128" s="1377"/>
      <c r="G128" s="1377"/>
      <c r="H128" s="1377"/>
      <c r="I128" s="1377"/>
      <c r="J128" s="1377"/>
      <c r="K128" s="1377">
        <v>70.84</v>
      </c>
      <c r="L128" s="1378">
        <f t="shared" si="14"/>
        <v>70.84</v>
      </c>
      <c r="M128" s="1380">
        <v>55</v>
      </c>
      <c r="N128" s="1380"/>
      <c r="O128" s="1380">
        <f t="shared" si="24"/>
        <v>3896.2000000000003</v>
      </c>
      <c r="P128" s="1069">
        <f t="shared" si="15"/>
        <v>0</v>
      </c>
      <c r="Q128" s="1069">
        <f t="shared" si="16"/>
        <v>0</v>
      </c>
      <c r="R128" s="1069">
        <f t="shared" si="17"/>
        <v>0</v>
      </c>
      <c r="S128" s="1069">
        <f t="shared" si="18"/>
        <v>0</v>
      </c>
      <c r="T128" s="1069">
        <f t="shared" si="19"/>
        <v>0</v>
      </c>
      <c r="U128" s="1069">
        <f t="shared" si="19"/>
        <v>0</v>
      </c>
      <c r="V128" s="1069">
        <f t="shared" si="20"/>
        <v>0</v>
      </c>
      <c r="W128" s="1069">
        <f t="shared" si="21"/>
        <v>50.600000000000009</v>
      </c>
      <c r="X128" s="1378">
        <f t="shared" si="22"/>
        <v>50.600000000000009</v>
      </c>
      <c r="Y128" s="1380">
        <f t="shared" si="23"/>
        <v>77</v>
      </c>
      <c r="Z128" s="1380"/>
      <c r="AA128" s="1380">
        <f t="shared" si="25"/>
        <v>3896.2000000000007</v>
      </c>
    </row>
    <row r="129" spans="2:27" hidden="1">
      <c r="B129" s="1375">
        <v>121</v>
      </c>
      <c r="C129" s="1376">
        <v>44926</v>
      </c>
      <c r="D129" s="1069"/>
      <c r="E129" s="1069"/>
      <c r="F129" s="1377"/>
      <c r="G129" s="1377"/>
      <c r="H129" s="1377"/>
      <c r="I129" s="1377"/>
      <c r="J129" s="1377"/>
      <c r="K129" s="1377">
        <v>72.599999999999994</v>
      </c>
      <c r="L129" s="1378">
        <f t="shared" si="14"/>
        <v>72.599999999999994</v>
      </c>
      <c r="M129" s="1380">
        <v>55</v>
      </c>
      <c r="N129" s="1380"/>
      <c r="O129" s="1380">
        <f t="shared" si="24"/>
        <v>3992.9999999999995</v>
      </c>
      <c r="P129" s="1069">
        <f t="shared" si="15"/>
        <v>0</v>
      </c>
      <c r="Q129" s="1069">
        <f t="shared" si="16"/>
        <v>0</v>
      </c>
      <c r="R129" s="1069">
        <f t="shared" si="17"/>
        <v>0</v>
      </c>
      <c r="S129" s="1069">
        <f t="shared" si="18"/>
        <v>0</v>
      </c>
      <c r="T129" s="1069">
        <f t="shared" si="19"/>
        <v>0</v>
      </c>
      <c r="U129" s="1069">
        <f t="shared" si="19"/>
        <v>0</v>
      </c>
      <c r="V129" s="1069">
        <f t="shared" si="20"/>
        <v>0</v>
      </c>
      <c r="W129" s="1069">
        <f t="shared" si="21"/>
        <v>51.857142857142854</v>
      </c>
      <c r="X129" s="1378">
        <f t="shared" si="22"/>
        <v>51.857142857142854</v>
      </c>
      <c r="Y129" s="1380">
        <f t="shared" si="23"/>
        <v>77</v>
      </c>
      <c r="Z129" s="1380"/>
      <c r="AA129" s="1380">
        <f t="shared" si="25"/>
        <v>3992.9999999999995</v>
      </c>
    </row>
    <row r="130" spans="2:27" hidden="1">
      <c r="B130" s="1375">
        <v>122</v>
      </c>
      <c r="C130" s="1376">
        <v>44926</v>
      </c>
      <c r="D130" s="1069"/>
      <c r="E130" s="1069"/>
      <c r="F130" s="1377"/>
      <c r="G130" s="1377"/>
      <c r="H130" s="1377"/>
      <c r="I130" s="1377"/>
      <c r="J130" s="1377"/>
      <c r="K130" s="1377">
        <v>70.72</v>
      </c>
      <c r="L130" s="1378">
        <f t="shared" si="14"/>
        <v>70.72</v>
      </c>
      <c r="M130" s="1380">
        <v>55</v>
      </c>
      <c r="N130" s="1380"/>
      <c r="O130" s="1380">
        <f t="shared" si="24"/>
        <v>3889.6</v>
      </c>
      <c r="P130" s="1069">
        <f t="shared" si="15"/>
        <v>0</v>
      </c>
      <c r="Q130" s="1069">
        <f t="shared" si="16"/>
        <v>0</v>
      </c>
      <c r="R130" s="1069">
        <f t="shared" si="17"/>
        <v>0</v>
      </c>
      <c r="S130" s="1069">
        <f t="shared" si="18"/>
        <v>0</v>
      </c>
      <c r="T130" s="1069">
        <f t="shared" si="19"/>
        <v>0</v>
      </c>
      <c r="U130" s="1069">
        <f t="shared" si="19"/>
        <v>0</v>
      </c>
      <c r="V130" s="1069">
        <f t="shared" si="20"/>
        <v>0</v>
      </c>
      <c r="W130" s="1069">
        <f t="shared" si="21"/>
        <v>50.51428571428572</v>
      </c>
      <c r="X130" s="1378">
        <f t="shared" si="22"/>
        <v>50.51428571428572</v>
      </c>
      <c r="Y130" s="1380">
        <f t="shared" si="23"/>
        <v>77</v>
      </c>
      <c r="Z130" s="1380"/>
      <c r="AA130" s="1380">
        <f t="shared" si="25"/>
        <v>3889.6000000000004</v>
      </c>
    </row>
    <row r="131" spans="2:27" hidden="1">
      <c r="B131" s="1375">
        <v>123</v>
      </c>
      <c r="C131" s="1376">
        <v>44926</v>
      </c>
      <c r="D131" s="1069"/>
      <c r="E131" s="1069"/>
      <c r="F131" s="1377"/>
      <c r="G131" s="1377"/>
      <c r="H131" s="1377"/>
      <c r="I131" s="1377"/>
      <c r="J131" s="1377"/>
      <c r="K131" s="1377">
        <v>70.92</v>
      </c>
      <c r="L131" s="1378">
        <f t="shared" si="14"/>
        <v>70.92</v>
      </c>
      <c r="M131" s="1380">
        <v>55</v>
      </c>
      <c r="N131" s="1380"/>
      <c r="O131" s="1380">
        <f t="shared" si="24"/>
        <v>3900.6</v>
      </c>
      <c r="P131" s="1069">
        <f t="shared" si="15"/>
        <v>0</v>
      </c>
      <c r="Q131" s="1069">
        <f t="shared" si="16"/>
        <v>0</v>
      </c>
      <c r="R131" s="1069">
        <f t="shared" si="17"/>
        <v>0</v>
      </c>
      <c r="S131" s="1069">
        <f t="shared" si="18"/>
        <v>0</v>
      </c>
      <c r="T131" s="1069">
        <f t="shared" si="19"/>
        <v>0</v>
      </c>
      <c r="U131" s="1069">
        <f t="shared" si="19"/>
        <v>0</v>
      </c>
      <c r="V131" s="1069">
        <f t="shared" si="20"/>
        <v>0</v>
      </c>
      <c r="W131" s="1069">
        <f t="shared" si="21"/>
        <v>50.657142857142858</v>
      </c>
      <c r="X131" s="1378">
        <f t="shared" si="22"/>
        <v>50.657142857142858</v>
      </c>
      <c r="Y131" s="1380">
        <f t="shared" si="23"/>
        <v>77</v>
      </c>
      <c r="Z131" s="1380"/>
      <c r="AA131" s="1380">
        <f t="shared" si="25"/>
        <v>3900.6</v>
      </c>
    </row>
    <row r="132" spans="2:27" hidden="1">
      <c r="B132" s="1375">
        <v>124</v>
      </c>
      <c r="C132" s="1376">
        <v>44926</v>
      </c>
      <c r="D132" s="1069"/>
      <c r="E132" s="1069"/>
      <c r="F132" s="1377"/>
      <c r="G132" s="1377"/>
      <c r="H132" s="1377"/>
      <c r="I132" s="1377"/>
      <c r="J132" s="1377"/>
      <c r="K132" s="1377">
        <v>71.12</v>
      </c>
      <c r="L132" s="1378">
        <f t="shared" si="14"/>
        <v>71.12</v>
      </c>
      <c r="M132" s="1380">
        <v>55</v>
      </c>
      <c r="N132" s="1380"/>
      <c r="O132" s="1380">
        <f t="shared" si="24"/>
        <v>3911.6000000000004</v>
      </c>
      <c r="P132" s="1069">
        <f t="shared" si="15"/>
        <v>0</v>
      </c>
      <c r="Q132" s="1069">
        <f t="shared" si="16"/>
        <v>0</v>
      </c>
      <c r="R132" s="1069">
        <f t="shared" si="17"/>
        <v>0</v>
      </c>
      <c r="S132" s="1069">
        <f t="shared" si="18"/>
        <v>0</v>
      </c>
      <c r="T132" s="1069">
        <f t="shared" si="19"/>
        <v>0</v>
      </c>
      <c r="U132" s="1069">
        <f t="shared" si="19"/>
        <v>0</v>
      </c>
      <c r="V132" s="1069">
        <f t="shared" si="20"/>
        <v>0</v>
      </c>
      <c r="W132" s="1069">
        <f t="shared" si="21"/>
        <v>50.800000000000004</v>
      </c>
      <c r="X132" s="1378">
        <f t="shared" si="22"/>
        <v>50.800000000000004</v>
      </c>
      <c r="Y132" s="1380">
        <f t="shared" si="23"/>
        <v>77</v>
      </c>
      <c r="Z132" s="1380"/>
      <c r="AA132" s="1380">
        <f t="shared" si="25"/>
        <v>3911.6000000000004</v>
      </c>
    </row>
    <row r="133" spans="2:27" hidden="1">
      <c r="B133" s="1375">
        <v>125</v>
      </c>
      <c r="C133" s="1376">
        <v>44926</v>
      </c>
      <c r="D133" s="1069"/>
      <c r="E133" s="1069"/>
      <c r="F133" s="1377"/>
      <c r="G133" s="1377"/>
      <c r="H133" s="1377"/>
      <c r="I133" s="1377"/>
      <c r="J133" s="1377"/>
      <c r="K133" s="1377">
        <v>61.4</v>
      </c>
      <c r="L133" s="1378">
        <f t="shared" si="14"/>
        <v>61.4</v>
      </c>
      <c r="M133" s="1380">
        <v>55</v>
      </c>
      <c r="N133" s="1380"/>
      <c r="O133" s="1380">
        <f t="shared" si="24"/>
        <v>3377</v>
      </c>
      <c r="P133" s="1069">
        <f t="shared" si="15"/>
        <v>0</v>
      </c>
      <c r="Q133" s="1069">
        <f t="shared" si="16"/>
        <v>0</v>
      </c>
      <c r="R133" s="1069">
        <f t="shared" si="17"/>
        <v>0</v>
      </c>
      <c r="S133" s="1069">
        <f t="shared" si="18"/>
        <v>0</v>
      </c>
      <c r="T133" s="1069">
        <f t="shared" si="19"/>
        <v>0</v>
      </c>
      <c r="U133" s="1069">
        <f t="shared" si="19"/>
        <v>0</v>
      </c>
      <c r="V133" s="1069">
        <f t="shared" si="20"/>
        <v>0</v>
      </c>
      <c r="W133" s="1069">
        <f t="shared" si="21"/>
        <v>43.857142857142861</v>
      </c>
      <c r="X133" s="1378">
        <f t="shared" si="22"/>
        <v>43.857142857142861</v>
      </c>
      <c r="Y133" s="1380">
        <f t="shared" si="23"/>
        <v>77</v>
      </c>
      <c r="Z133" s="1380"/>
      <c r="AA133" s="1380">
        <f t="shared" si="25"/>
        <v>3377.0000000000005</v>
      </c>
    </row>
    <row r="134" spans="2:27" hidden="1">
      <c r="B134" s="1375">
        <v>126</v>
      </c>
      <c r="C134" s="1376">
        <v>44926</v>
      </c>
      <c r="D134" s="1069"/>
      <c r="E134" s="1069"/>
      <c r="F134" s="1377"/>
      <c r="G134" s="1377"/>
      <c r="H134" s="1377"/>
      <c r="I134" s="1377"/>
      <c r="J134" s="1377"/>
      <c r="K134" s="1377">
        <v>71.28</v>
      </c>
      <c r="L134" s="1378">
        <f t="shared" si="14"/>
        <v>71.28</v>
      </c>
      <c r="M134" s="1380">
        <v>55</v>
      </c>
      <c r="N134" s="1380"/>
      <c r="O134" s="1380">
        <f t="shared" si="24"/>
        <v>3920.4</v>
      </c>
      <c r="P134" s="1069">
        <f t="shared" si="15"/>
        <v>0</v>
      </c>
      <c r="Q134" s="1069">
        <f t="shared" si="16"/>
        <v>0</v>
      </c>
      <c r="R134" s="1069">
        <f t="shared" si="17"/>
        <v>0</v>
      </c>
      <c r="S134" s="1069">
        <f t="shared" si="18"/>
        <v>0</v>
      </c>
      <c r="T134" s="1069">
        <f t="shared" si="19"/>
        <v>0</v>
      </c>
      <c r="U134" s="1069">
        <f t="shared" si="19"/>
        <v>0</v>
      </c>
      <c r="V134" s="1069">
        <f t="shared" si="20"/>
        <v>0</v>
      </c>
      <c r="W134" s="1069">
        <f t="shared" si="21"/>
        <v>50.914285714285718</v>
      </c>
      <c r="X134" s="1378">
        <f t="shared" si="22"/>
        <v>50.914285714285718</v>
      </c>
      <c r="Y134" s="1380">
        <f t="shared" si="23"/>
        <v>77</v>
      </c>
      <c r="Z134" s="1380"/>
      <c r="AA134" s="1380">
        <f t="shared" si="25"/>
        <v>3920.4</v>
      </c>
    </row>
    <row r="135" spans="2:27" hidden="1">
      <c r="B135" s="1375">
        <v>127</v>
      </c>
      <c r="C135" s="1376">
        <v>44926</v>
      </c>
      <c r="D135" s="1069"/>
      <c r="E135" s="1069"/>
      <c r="F135" s="1377"/>
      <c r="G135" s="1377"/>
      <c r="H135" s="1377"/>
      <c r="I135" s="1377"/>
      <c r="J135" s="1377"/>
      <c r="K135" s="1377">
        <v>71.739999999999995</v>
      </c>
      <c r="L135" s="1378">
        <f t="shared" si="14"/>
        <v>71.739999999999995</v>
      </c>
      <c r="M135" s="1380">
        <v>55</v>
      </c>
      <c r="N135" s="1380"/>
      <c r="O135" s="1380">
        <f t="shared" si="24"/>
        <v>3945.7</v>
      </c>
      <c r="P135" s="1069">
        <f t="shared" si="15"/>
        <v>0</v>
      </c>
      <c r="Q135" s="1069">
        <f t="shared" si="16"/>
        <v>0</v>
      </c>
      <c r="R135" s="1069">
        <f t="shared" si="17"/>
        <v>0</v>
      </c>
      <c r="S135" s="1069">
        <f t="shared" si="18"/>
        <v>0</v>
      </c>
      <c r="T135" s="1069">
        <f t="shared" si="19"/>
        <v>0</v>
      </c>
      <c r="U135" s="1069">
        <f t="shared" si="19"/>
        <v>0</v>
      </c>
      <c r="V135" s="1069">
        <f t="shared" si="20"/>
        <v>0</v>
      </c>
      <c r="W135" s="1069">
        <f t="shared" si="21"/>
        <v>51.24285714285714</v>
      </c>
      <c r="X135" s="1378">
        <f t="shared" si="22"/>
        <v>51.24285714285714</v>
      </c>
      <c r="Y135" s="1380">
        <f t="shared" si="23"/>
        <v>77</v>
      </c>
      <c r="Z135" s="1380"/>
      <c r="AA135" s="1380">
        <f t="shared" si="25"/>
        <v>3945.7</v>
      </c>
    </row>
    <row r="136" spans="2:27" hidden="1">
      <c r="B136" s="1375">
        <v>128</v>
      </c>
      <c r="C136" s="1376">
        <v>44926</v>
      </c>
      <c r="D136" s="1069"/>
      <c r="E136" s="1069"/>
      <c r="F136" s="1377"/>
      <c r="G136" s="1377"/>
      <c r="H136" s="1377"/>
      <c r="I136" s="1377"/>
      <c r="J136" s="1377"/>
      <c r="K136" s="1377">
        <v>72.98</v>
      </c>
      <c r="L136" s="1378">
        <f t="shared" si="14"/>
        <v>72.98</v>
      </c>
      <c r="M136" s="1380">
        <v>55</v>
      </c>
      <c r="N136" s="1380"/>
      <c r="O136" s="1380">
        <f t="shared" si="24"/>
        <v>4013.9</v>
      </c>
      <c r="P136" s="1069">
        <f t="shared" si="15"/>
        <v>0</v>
      </c>
      <c r="Q136" s="1069">
        <f t="shared" si="16"/>
        <v>0</v>
      </c>
      <c r="R136" s="1069">
        <f t="shared" si="17"/>
        <v>0</v>
      </c>
      <c r="S136" s="1069">
        <f t="shared" si="18"/>
        <v>0</v>
      </c>
      <c r="T136" s="1069">
        <f t="shared" si="19"/>
        <v>0</v>
      </c>
      <c r="U136" s="1069">
        <f t="shared" si="19"/>
        <v>0</v>
      </c>
      <c r="V136" s="1069">
        <f t="shared" si="20"/>
        <v>0</v>
      </c>
      <c r="W136" s="1069">
        <f t="shared" si="21"/>
        <v>52.128571428571433</v>
      </c>
      <c r="X136" s="1378">
        <f t="shared" si="22"/>
        <v>52.128571428571433</v>
      </c>
      <c r="Y136" s="1380">
        <f t="shared" si="23"/>
        <v>77</v>
      </c>
      <c r="Z136" s="1380"/>
      <c r="AA136" s="1380">
        <f t="shared" si="25"/>
        <v>4013.9000000000005</v>
      </c>
    </row>
    <row r="137" spans="2:27" hidden="1">
      <c r="B137" s="1375">
        <v>129</v>
      </c>
      <c r="C137" s="1376">
        <v>44926</v>
      </c>
      <c r="D137" s="1069"/>
      <c r="E137" s="1069"/>
      <c r="F137" s="1377"/>
      <c r="G137" s="1377"/>
      <c r="H137" s="1377"/>
      <c r="I137" s="1377"/>
      <c r="J137" s="1377"/>
      <c r="K137" s="1377">
        <v>70.66</v>
      </c>
      <c r="L137" s="1378">
        <f t="shared" ref="L137:L168" si="26">SUM(D137:K137)</f>
        <v>70.66</v>
      </c>
      <c r="M137" s="1380">
        <v>55</v>
      </c>
      <c r="N137" s="1380"/>
      <c r="O137" s="1380">
        <f t="shared" si="24"/>
        <v>3886.2999999999997</v>
      </c>
      <c r="P137" s="1069">
        <f t="shared" ref="P137:P168" si="27">(D137/$P$6)</f>
        <v>0</v>
      </c>
      <c r="Q137" s="1069">
        <f t="shared" ref="Q137:Q168" si="28">(E137/$P$6)</f>
        <v>0</v>
      </c>
      <c r="R137" s="1069">
        <f t="shared" ref="R137:R168" si="29">(F137/$P$6)</f>
        <v>0</v>
      </c>
      <c r="S137" s="1069">
        <f t="shared" ref="S137:S168" si="30">(G137/$P$6)</f>
        <v>0</v>
      </c>
      <c r="T137" s="1069">
        <f t="shared" ref="T137:T168" si="31">(H137/$P$6)</f>
        <v>0</v>
      </c>
      <c r="U137" s="1069">
        <f t="shared" ref="U137:U168" si="32">(I137/$P$6)</f>
        <v>0</v>
      </c>
      <c r="V137" s="1069">
        <f t="shared" ref="V137:V168" si="33">(J137/$P$6)</f>
        <v>0</v>
      </c>
      <c r="W137" s="1069">
        <f t="shared" ref="W137:W168" si="34">(K137/$P$6)</f>
        <v>50.471428571428575</v>
      </c>
      <c r="X137" s="1378">
        <f t="shared" ref="X137:X168" si="35">SUM(P137:W137)</f>
        <v>50.471428571428575</v>
      </c>
      <c r="Y137" s="1380">
        <f t="shared" ref="Y137:Y142" si="36">(M137*$P$6)</f>
        <v>77</v>
      </c>
      <c r="Z137" s="1380"/>
      <c r="AA137" s="1380">
        <f t="shared" si="25"/>
        <v>3886.3</v>
      </c>
    </row>
    <row r="138" spans="2:27" hidden="1">
      <c r="B138" s="1375">
        <v>130</v>
      </c>
      <c r="C138" s="1376">
        <v>44926</v>
      </c>
      <c r="D138" s="1069"/>
      <c r="E138" s="1069"/>
      <c r="F138" s="1377"/>
      <c r="G138" s="1377"/>
      <c r="H138" s="1377"/>
      <c r="I138" s="1377"/>
      <c r="J138" s="1377"/>
      <c r="K138" s="1377">
        <v>72.8</v>
      </c>
      <c r="L138" s="1378">
        <f t="shared" si="26"/>
        <v>72.8</v>
      </c>
      <c r="M138" s="1380">
        <v>55</v>
      </c>
      <c r="N138" s="1380"/>
      <c r="O138" s="1380">
        <f t="shared" ref="O138:O188" si="37">(L138*M138)</f>
        <v>4004</v>
      </c>
      <c r="P138" s="1069">
        <f t="shared" si="27"/>
        <v>0</v>
      </c>
      <c r="Q138" s="1069">
        <f t="shared" si="28"/>
        <v>0</v>
      </c>
      <c r="R138" s="1069">
        <f t="shared" si="29"/>
        <v>0</v>
      </c>
      <c r="S138" s="1069">
        <f t="shared" si="30"/>
        <v>0</v>
      </c>
      <c r="T138" s="1069">
        <f t="shared" si="31"/>
        <v>0</v>
      </c>
      <c r="U138" s="1069">
        <f t="shared" si="32"/>
        <v>0</v>
      </c>
      <c r="V138" s="1069">
        <f t="shared" si="33"/>
        <v>0</v>
      </c>
      <c r="W138" s="1069">
        <f t="shared" si="34"/>
        <v>52</v>
      </c>
      <c r="X138" s="1378">
        <f t="shared" si="35"/>
        <v>52</v>
      </c>
      <c r="Y138" s="1380">
        <f t="shared" si="36"/>
        <v>77</v>
      </c>
      <c r="Z138" s="1380"/>
      <c r="AA138" s="1380">
        <f t="shared" ref="AA138:AA188" si="38">(X138*Y138)</f>
        <v>4004</v>
      </c>
    </row>
    <row r="139" spans="2:27" hidden="1">
      <c r="B139" s="1375">
        <v>131</v>
      </c>
      <c r="C139" s="1376">
        <v>44926</v>
      </c>
      <c r="D139" s="1069"/>
      <c r="E139" s="1069"/>
      <c r="F139" s="1377"/>
      <c r="G139" s="1377"/>
      <c r="H139" s="1377"/>
      <c r="I139" s="1377"/>
      <c r="J139" s="1377"/>
      <c r="K139" s="1377">
        <v>59.38</v>
      </c>
      <c r="L139" s="1378">
        <f t="shared" si="26"/>
        <v>59.38</v>
      </c>
      <c r="M139" s="1380">
        <v>55</v>
      </c>
      <c r="N139" s="1380"/>
      <c r="O139" s="1380">
        <f t="shared" si="37"/>
        <v>3265.9</v>
      </c>
      <c r="P139" s="1069">
        <f t="shared" si="27"/>
        <v>0</v>
      </c>
      <c r="Q139" s="1069">
        <f t="shared" si="28"/>
        <v>0</v>
      </c>
      <c r="R139" s="1069">
        <f t="shared" si="29"/>
        <v>0</v>
      </c>
      <c r="S139" s="1069">
        <f t="shared" si="30"/>
        <v>0</v>
      </c>
      <c r="T139" s="1069">
        <f t="shared" si="31"/>
        <v>0</v>
      </c>
      <c r="U139" s="1069">
        <f t="shared" si="32"/>
        <v>0</v>
      </c>
      <c r="V139" s="1069">
        <f t="shared" si="33"/>
        <v>0</v>
      </c>
      <c r="W139" s="1069">
        <f t="shared" si="34"/>
        <v>42.414285714285718</v>
      </c>
      <c r="X139" s="1378">
        <f t="shared" si="35"/>
        <v>42.414285714285718</v>
      </c>
      <c r="Y139" s="1380">
        <f t="shared" si="36"/>
        <v>77</v>
      </c>
      <c r="Z139" s="1380"/>
      <c r="AA139" s="1380">
        <f t="shared" si="38"/>
        <v>3265.9</v>
      </c>
    </row>
    <row r="140" spans="2:27" hidden="1">
      <c r="B140" s="1375">
        <v>132</v>
      </c>
      <c r="C140" s="1376">
        <v>44926</v>
      </c>
      <c r="D140" s="1069"/>
      <c r="E140" s="1069"/>
      <c r="F140" s="1377"/>
      <c r="G140" s="1377"/>
      <c r="H140" s="1377"/>
      <c r="I140" s="1377"/>
      <c r="J140" s="1377"/>
      <c r="K140" s="1377">
        <v>73.52</v>
      </c>
      <c r="L140" s="1378">
        <f t="shared" si="26"/>
        <v>73.52</v>
      </c>
      <c r="M140" s="1380">
        <v>55</v>
      </c>
      <c r="N140" s="1380"/>
      <c r="O140" s="1380">
        <f t="shared" si="37"/>
        <v>4043.6</v>
      </c>
      <c r="P140" s="1069">
        <f t="shared" si="27"/>
        <v>0</v>
      </c>
      <c r="Q140" s="1069">
        <f t="shared" si="28"/>
        <v>0</v>
      </c>
      <c r="R140" s="1069">
        <f t="shared" si="29"/>
        <v>0</v>
      </c>
      <c r="S140" s="1069">
        <f t="shared" si="30"/>
        <v>0</v>
      </c>
      <c r="T140" s="1069">
        <f t="shared" si="31"/>
        <v>0</v>
      </c>
      <c r="U140" s="1069">
        <f t="shared" si="32"/>
        <v>0</v>
      </c>
      <c r="V140" s="1069">
        <f t="shared" si="33"/>
        <v>0</v>
      </c>
      <c r="W140" s="1069">
        <f t="shared" si="34"/>
        <v>52.514285714285712</v>
      </c>
      <c r="X140" s="1378">
        <f t="shared" si="35"/>
        <v>52.514285714285712</v>
      </c>
      <c r="Y140" s="1380">
        <f t="shared" si="36"/>
        <v>77</v>
      </c>
      <c r="Z140" s="1380"/>
      <c r="AA140" s="1380">
        <f t="shared" si="38"/>
        <v>4043.6</v>
      </c>
    </row>
    <row r="141" spans="2:27" hidden="1">
      <c r="B141" s="1375">
        <v>133</v>
      </c>
      <c r="C141" s="1376">
        <v>44926</v>
      </c>
      <c r="D141" s="1069"/>
      <c r="E141" s="1069"/>
      <c r="F141" s="1377"/>
      <c r="G141" s="1377"/>
      <c r="H141" s="1377"/>
      <c r="I141" s="1377"/>
      <c r="J141" s="1377"/>
      <c r="K141" s="1377">
        <v>45.64</v>
      </c>
      <c r="L141" s="1378">
        <f t="shared" si="26"/>
        <v>45.64</v>
      </c>
      <c r="M141" s="1380">
        <v>55</v>
      </c>
      <c r="N141" s="1380"/>
      <c r="O141" s="1380">
        <f t="shared" si="37"/>
        <v>2510.1999999999998</v>
      </c>
      <c r="P141" s="1069">
        <f t="shared" si="27"/>
        <v>0</v>
      </c>
      <c r="Q141" s="1069">
        <f t="shared" si="28"/>
        <v>0</v>
      </c>
      <c r="R141" s="1069">
        <f t="shared" si="29"/>
        <v>0</v>
      </c>
      <c r="S141" s="1069">
        <f t="shared" si="30"/>
        <v>0</v>
      </c>
      <c r="T141" s="1069">
        <f t="shared" si="31"/>
        <v>0</v>
      </c>
      <c r="U141" s="1069">
        <f t="shared" si="32"/>
        <v>0</v>
      </c>
      <c r="V141" s="1069">
        <f t="shared" si="33"/>
        <v>0</v>
      </c>
      <c r="W141" s="1069">
        <f t="shared" si="34"/>
        <v>32.6</v>
      </c>
      <c r="X141" s="1378">
        <f t="shared" si="35"/>
        <v>32.6</v>
      </c>
      <c r="Y141" s="1380">
        <f t="shared" si="36"/>
        <v>77</v>
      </c>
      <c r="Z141" s="1380"/>
      <c r="AA141" s="1380">
        <f t="shared" si="38"/>
        <v>2510.2000000000003</v>
      </c>
    </row>
    <row r="142" spans="2:27" hidden="1">
      <c r="B142" s="1375">
        <v>147</v>
      </c>
      <c r="C142" s="1376">
        <v>45291</v>
      </c>
      <c r="D142" s="1069"/>
      <c r="E142" s="1069"/>
      <c r="F142" s="1377"/>
      <c r="G142" s="1377"/>
      <c r="H142" s="1377">
        <v>28.6</v>
      </c>
      <c r="I142" s="1377"/>
      <c r="J142" s="1377"/>
      <c r="K142" s="1377"/>
      <c r="L142" s="1378">
        <f t="shared" si="26"/>
        <v>28.6</v>
      </c>
      <c r="M142" s="1380">
        <v>58</v>
      </c>
      <c r="N142" s="1380"/>
      <c r="O142" s="1380">
        <f t="shared" si="37"/>
        <v>1658.8000000000002</v>
      </c>
      <c r="P142" s="1069">
        <f t="shared" si="27"/>
        <v>0</v>
      </c>
      <c r="Q142" s="1069">
        <f t="shared" si="28"/>
        <v>0</v>
      </c>
      <c r="R142" s="1069">
        <f t="shared" si="29"/>
        <v>0</v>
      </c>
      <c r="S142" s="1069">
        <f t="shared" si="30"/>
        <v>0</v>
      </c>
      <c r="T142" s="1069">
        <f t="shared" si="31"/>
        <v>20.428571428571431</v>
      </c>
      <c r="U142" s="1069">
        <f t="shared" si="32"/>
        <v>0</v>
      </c>
      <c r="V142" s="1069">
        <f t="shared" si="33"/>
        <v>0</v>
      </c>
      <c r="W142" s="1069">
        <f t="shared" si="34"/>
        <v>0</v>
      </c>
      <c r="X142" s="1378">
        <f t="shared" si="35"/>
        <v>20.428571428571431</v>
      </c>
      <c r="Y142" s="1380">
        <f t="shared" si="36"/>
        <v>81.199999999999989</v>
      </c>
      <c r="Z142" s="1380"/>
      <c r="AA142" s="1380">
        <f t="shared" si="38"/>
        <v>1658.8</v>
      </c>
    </row>
    <row r="143" spans="2:27" hidden="1">
      <c r="B143" s="1375">
        <v>148</v>
      </c>
      <c r="C143" s="1376">
        <v>45291</v>
      </c>
      <c r="D143" s="1069"/>
      <c r="E143" s="1069"/>
      <c r="F143" s="1377"/>
      <c r="G143" s="1377"/>
      <c r="H143" s="1377">
        <v>27.18</v>
      </c>
      <c r="I143" s="1377"/>
      <c r="J143" s="1377"/>
      <c r="K143" s="1377"/>
      <c r="L143" s="1378">
        <f t="shared" si="26"/>
        <v>27.18</v>
      </c>
      <c r="M143" s="1380">
        <v>58</v>
      </c>
      <c r="N143" s="1380"/>
      <c r="O143" s="1380">
        <f t="shared" si="37"/>
        <v>1576.44</v>
      </c>
      <c r="P143" s="1069">
        <f t="shared" si="27"/>
        <v>0</v>
      </c>
      <c r="Q143" s="1069">
        <f t="shared" si="28"/>
        <v>0</v>
      </c>
      <c r="R143" s="1069">
        <f t="shared" si="29"/>
        <v>0</v>
      </c>
      <c r="S143" s="1069">
        <f t="shared" si="30"/>
        <v>0</v>
      </c>
      <c r="T143" s="1069">
        <f t="shared" si="31"/>
        <v>19.414285714285715</v>
      </c>
      <c r="U143" s="1069">
        <f t="shared" si="32"/>
        <v>0</v>
      </c>
      <c r="V143" s="1069">
        <f t="shared" si="33"/>
        <v>0</v>
      </c>
      <c r="W143" s="1069">
        <f t="shared" si="34"/>
        <v>0</v>
      </c>
      <c r="X143" s="1378">
        <f t="shared" si="35"/>
        <v>19.414285714285715</v>
      </c>
      <c r="Y143" s="1380">
        <f t="shared" ref="Y143:Y204" si="39">(M143*$P$6)</f>
        <v>81.199999999999989</v>
      </c>
      <c r="Z143" s="1380"/>
      <c r="AA143" s="1380">
        <f t="shared" si="38"/>
        <v>1576.4399999999998</v>
      </c>
    </row>
    <row r="144" spans="2:27" hidden="1">
      <c r="B144" s="1375">
        <v>149</v>
      </c>
      <c r="C144" s="1376">
        <v>45291</v>
      </c>
      <c r="D144" s="1069"/>
      <c r="E144" s="1069"/>
      <c r="F144" s="1377"/>
      <c r="G144" s="1377"/>
      <c r="H144" s="1377">
        <v>30.94</v>
      </c>
      <c r="I144" s="1377"/>
      <c r="J144" s="1377"/>
      <c r="K144" s="1377"/>
      <c r="L144" s="1378">
        <f t="shared" si="26"/>
        <v>30.94</v>
      </c>
      <c r="M144" s="1380">
        <v>58</v>
      </c>
      <c r="N144" s="1380"/>
      <c r="O144" s="1380">
        <f t="shared" si="37"/>
        <v>1794.52</v>
      </c>
      <c r="P144" s="1069">
        <f t="shared" si="27"/>
        <v>0</v>
      </c>
      <c r="Q144" s="1069">
        <f t="shared" si="28"/>
        <v>0</v>
      </c>
      <c r="R144" s="1069">
        <f t="shared" si="29"/>
        <v>0</v>
      </c>
      <c r="S144" s="1069">
        <f t="shared" si="30"/>
        <v>0</v>
      </c>
      <c r="T144" s="1069">
        <f t="shared" si="31"/>
        <v>22.1</v>
      </c>
      <c r="U144" s="1069">
        <f t="shared" si="32"/>
        <v>0</v>
      </c>
      <c r="V144" s="1069">
        <f t="shared" si="33"/>
        <v>0</v>
      </c>
      <c r="W144" s="1069">
        <f t="shared" si="34"/>
        <v>0</v>
      </c>
      <c r="X144" s="1378">
        <f t="shared" si="35"/>
        <v>22.1</v>
      </c>
      <c r="Y144" s="1380">
        <f t="shared" si="39"/>
        <v>81.199999999999989</v>
      </c>
      <c r="Z144" s="1380"/>
      <c r="AA144" s="1380">
        <f t="shared" si="38"/>
        <v>1794.5199999999998</v>
      </c>
    </row>
    <row r="145" spans="2:27" hidden="1">
      <c r="B145" s="1375">
        <v>150</v>
      </c>
      <c r="C145" s="1376">
        <v>45291</v>
      </c>
      <c r="D145" s="1069"/>
      <c r="E145" s="1069"/>
      <c r="F145" s="1377"/>
      <c r="G145" s="1377"/>
      <c r="H145" s="1377">
        <v>27.6</v>
      </c>
      <c r="I145" s="1377"/>
      <c r="J145" s="1377"/>
      <c r="K145" s="1377"/>
      <c r="L145" s="1378">
        <f t="shared" si="26"/>
        <v>27.6</v>
      </c>
      <c r="M145" s="1380">
        <v>58</v>
      </c>
      <c r="N145" s="1380"/>
      <c r="O145" s="1380">
        <f t="shared" si="37"/>
        <v>1600.8000000000002</v>
      </c>
      <c r="P145" s="1069">
        <f t="shared" si="27"/>
        <v>0</v>
      </c>
      <c r="Q145" s="1069">
        <f t="shared" si="28"/>
        <v>0</v>
      </c>
      <c r="R145" s="1069">
        <f t="shared" si="29"/>
        <v>0</v>
      </c>
      <c r="S145" s="1069">
        <f t="shared" si="30"/>
        <v>0</v>
      </c>
      <c r="T145" s="1069">
        <f t="shared" si="31"/>
        <v>19.714285714285715</v>
      </c>
      <c r="U145" s="1069">
        <f t="shared" si="32"/>
        <v>0</v>
      </c>
      <c r="V145" s="1069">
        <f t="shared" si="33"/>
        <v>0</v>
      </c>
      <c r="W145" s="1069">
        <f t="shared" si="34"/>
        <v>0</v>
      </c>
      <c r="X145" s="1378">
        <f t="shared" si="35"/>
        <v>19.714285714285715</v>
      </c>
      <c r="Y145" s="1380">
        <f t="shared" si="39"/>
        <v>81.199999999999989</v>
      </c>
      <c r="Z145" s="1380"/>
      <c r="AA145" s="1380">
        <f t="shared" si="38"/>
        <v>1600.8</v>
      </c>
    </row>
    <row r="146" spans="2:27" hidden="1">
      <c r="B146" s="1375">
        <v>151</v>
      </c>
      <c r="C146" s="1376">
        <v>45291</v>
      </c>
      <c r="D146" s="1069"/>
      <c r="E146" s="1069"/>
      <c r="F146" s="1377"/>
      <c r="G146" s="1377"/>
      <c r="H146" s="1377">
        <v>27.36</v>
      </c>
      <c r="I146" s="1377"/>
      <c r="J146" s="1377"/>
      <c r="K146" s="1377"/>
      <c r="L146" s="1378">
        <f t="shared" si="26"/>
        <v>27.36</v>
      </c>
      <c r="M146" s="1380">
        <v>58</v>
      </c>
      <c r="N146" s="1380"/>
      <c r="O146" s="1380">
        <f t="shared" si="37"/>
        <v>1586.8799999999999</v>
      </c>
      <c r="P146" s="1069">
        <f t="shared" si="27"/>
        <v>0</v>
      </c>
      <c r="Q146" s="1069">
        <f t="shared" si="28"/>
        <v>0</v>
      </c>
      <c r="R146" s="1069">
        <f t="shared" si="29"/>
        <v>0</v>
      </c>
      <c r="S146" s="1069">
        <f t="shared" si="30"/>
        <v>0</v>
      </c>
      <c r="T146" s="1069">
        <f t="shared" si="31"/>
        <v>19.542857142857144</v>
      </c>
      <c r="U146" s="1069">
        <f t="shared" si="32"/>
        <v>0</v>
      </c>
      <c r="V146" s="1069">
        <f t="shared" si="33"/>
        <v>0</v>
      </c>
      <c r="W146" s="1069">
        <f t="shared" si="34"/>
        <v>0</v>
      </c>
      <c r="X146" s="1378">
        <f t="shared" si="35"/>
        <v>19.542857142857144</v>
      </c>
      <c r="Y146" s="1380">
        <f t="shared" si="39"/>
        <v>81.199999999999989</v>
      </c>
      <c r="Z146" s="1380"/>
      <c r="AA146" s="1380">
        <f t="shared" si="38"/>
        <v>1586.8799999999999</v>
      </c>
    </row>
    <row r="147" spans="2:27" hidden="1">
      <c r="B147" s="1375">
        <v>152</v>
      </c>
      <c r="C147" s="1376">
        <v>45291</v>
      </c>
      <c r="D147" s="1069"/>
      <c r="E147" s="1069"/>
      <c r="F147" s="1377"/>
      <c r="G147" s="1377"/>
      <c r="H147" s="1377">
        <v>27.14</v>
      </c>
      <c r="I147" s="1377"/>
      <c r="J147" s="1377"/>
      <c r="K147" s="1377"/>
      <c r="L147" s="1378">
        <f t="shared" si="26"/>
        <v>27.14</v>
      </c>
      <c r="M147" s="1380">
        <v>58</v>
      </c>
      <c r="N147" s="1380"/>
      <c r="O147" s="1380">
        <f t="shared" si="37"/>
        <v>1574.1200000000001</v>
      </c>
      <c r="P147" s="1069">
        <f t="shared" si="27"/>
        <v>0</v>
      </c>
      <c r="Q147" s="1069">
        <f t="shared" si="28"/>
        <v>0</v>
      </c>
      <c r="R147" s="1069">
        <f t="shared" si="29"/>
        <v>0</v>
      </c>
      <c r="S147" s="1069">
        <f t="shared" si="30"/>
        <v>0</v>
      </c>
      <c r="T147" s="1069">
        <f t="shared" si="31"/>
        <v>19.385714285714286</v>
      </c>
      <c r="U147" s="1069">
        <f t="shared" si="32"/>
        <v>0</v>
      </c>
      <c r="V147" s="1069">
        <f t="shared" si="33"/>
        <v>0</v>
      </c>
      <c r="W147" s="1069">
        <f t="shared" si="34"/>
        <v>0</v>
      </c>
      <c r="X147" s="1378">
        <f t="shared" si="35"/>
        <v>19.385714285714286</v>
      </c>
      <c r="Y147" s="1380">
        <f t="shared" si="39"/>
        <v>81.199999999999989</v>
      </c>
      <c r="Z147" s="1380"/>
      <c r="AA147" s="1380">
        <f t="shared" si="38"/>
        <v>1574.12</v>
      </c>
    </row>
    <row r="148" spans="2:27" hidden="1">
      <c r="B148" s="1375">
        <v>153</v>
      </c>
      <c r="C148" s="1376">
        <v>45291</v>
      </c>
      <c r="D148" s="1069"/>
      <c r="E148" s="1069"/>
      <c r="F148" s="1377"/>
      <c r="G148" s="1377"/>
      <c r="H148" s="1377">
        <v>26.86</v>
      </c>
      <c r="I148" s="1377"/>
      <c r="J148" s="1377"/>
      <c r="K148" s="1377"/>
      <c r="L148" s="1378">
        <f t="shared" si="26"/>
        <v>26.86</v>
      </c>
      <c r="M148" s="1380">
        <v>58</v>
      </c>
      <c r="N148" s="1380"/>
      <c r="O148" s="1380">
        <f t="shared" si="37"/>
        <v>1557.8799999999999</v>
      </c>
      <c r="P148" s="1069">
        <f t="shared" si="27"/>
        <v>0</v>
      </c>
      <c r="Q148" s="1069">
        <f t="shared" si="28"/>
        <v>0</v>
      </c>
      <c r="R148" s="1069">
        <f t="shared" si="29"/>
        <v>0</v>
      </c>
      <c r="S148" s="1069">
        <f t="shared" si="30"/>
        <v>0</v>
      </c>
      <c r="T148" s="1069">
        <f t="shared" si="31"/>
        <v>19.185714285714287</v>
      </c>
      <c r="U148" s="1069">
        <f t="shared" si="32"/>
        <v>0</v>
      </c>
      <c r="V148" s="1069">
        <f t="shared" si="33"/>
        <v>0</v>
      </c>
      <c r="W148" s="1069">
        <f t="shared" si="34"/>
        <v>0</v>
      </c>
      <c r="X148" s="1378">
        <f t="shared" si="35"/>
        <v>19.185714285714287</v>
      </c>
      <c r="Y148" s="1380">
        <f t="shared" si="39"/>
        <v>81.199999999999989</v>
      </c>
      <c r="Z148" s="1380"/>
      <c r="AA148" s="1380">
        <f t="shared" si="38"/>
        <v>1557.8799999999999</v>
      </c>
    </row>
    <row r="149" spans="2:27" hidden="1">
      <c r="B149" s="1375">
        <v>154</v>
      </c>
      <c r="C149" s="1376">
        <v>45291</v>
      </c>
      <c r="D149" s="1069"/>
      <c r="E149" s="1069"/>
      <c r="F149" s="1377"/>
      <c r="G149" s="1377"/>
      <c r="H149" s="1377">
        <v>27.88</v>
      </c>
      <c r="I149" s="1377"/>
      <c r="J149" s="1377"/>
      <c r="K149" s="1377"/>
      <c r="L149" s="1378">
        <f t="shared" si="26"/>
        <v>27.88</v>
      </c>
      <c r="M149" s="1380">
        <v>58</v>
      </c>
      <c r="N149" s="1380"/>
      <c r="O149" s="1380">
        <f t="shared" si="37"/>
        <v>1617.04</v>
      </c>
      <c r="P149" s="1069">
        <f t="shared" si="27"/>
        <v>0</v>
      </c>
      <c r="Q149" s="1069">
        <f t="shared" si="28"/>
        <v>0</v>
      </c>
      <c r="R149" s="1069">
        <f t="shared" si="29"/>
        <v>0</v>
      </c>
      <c r="S149" s="1069">
        <f t="shared" si="30"/>
        <v>0</v>
      </c>
      <c r="T149" s="1069">
        <f t="shared" si="31"/>
        <v>19.914285714285715</v>
      </c>
      <c r="U149" s="1069">
        <f t="shared" si="32"/>
        <v>0</v>
      </c>
      <c r="V149" s="1069">
        <f t="shared" si="33"/>
        <v>0</v>
      </c>
      <c r="W149" s="1069">
        <f t="shared" si="34"/>
        <v>0</v>
      </c>
      <c r="X149" s="1378">
        <f t="shared" si="35"/>
        <v>19.914285714285715</v>
      </c>
      <c r="Y149" s="1380">
        <f t="shared" si="39"/>
        <v>81.199999999999989</v>
      </c>
      <c r="Z149" s="1380"/>
      <c r="AA149" s="1380">
        <f t="shared" si="38"/>
        <v>1617.0399999999997</v>
      </c>
    </row>
    <row r="150" spans="2:27" hidden="1">
      <c r="B150" s="1375">
        <v>155</v>
      </c>
      <c r="C150" s="1376">
        <v>45291</v>
      </c>
      <c r="D150" s="1069"/>
      <c r="E150" s="1069"/>
      <c r="F150" s="1377"/>
      <c r="G150" s="1377"/>
      <c r="H150" s="1377">
        <v>30.32</v>
      </c>
      <c r="I150" s="1377"/>
      <c r="J150" s="1377"/>
      <c r="K150" s="1377"/>
      <c r="L150" s="1378">
        <f t="shared" si="26"/>
        <v>30.32</v>
      </c>
      <c r="M150" s="1380">
        <v>58</v>
      </c>
      <c r="N150" s="1380"/>
      <c r="O150" s="1380">
        <f t="shared" si="37"/>
        <v>1758.56</v>
      </c>
      <c r="P150" s="1069">
        <f t="shared" si="27"/>
        <v>0</v>
      </c>
      <c r="Q150" s="1069">
        <f t="shared" si="28"/>
        <v>0</v>
      </c>
      <c r="R150" s="1069">
        <f t="shared" si="29"/>
        <v>0</v>
      </c>
      <c r="S150" s="1069">
        <f t="shared" si="30"/>
        <v>0</v>
      </c>
      <c r="T150" s="1069">
        <f t="shared" si="31"/>
        <v>21.657142857142858</v>
      </c>
      <c r="U150" s="1069">
        <f t="shared" si="32"/>
        <v>0</v>
      </c>
      <c r="V150" s="1069">
        <f t="shared" si="33"/>
        <v>0</v>
      </c>
      <c r="W150" s="1069">
        <f t="shared" si="34"/>
        <v>0</v>
      </c>
      <c r="X150" s="1378">
        <f t="shared" si="35"/>
        <v>21.657142857142858</v>
      </c>
      <c r="Y150" s="1380">
        <f t="shared" si="39"/>
        <v>81.199999999999989</v>
      </c>
      <c r="Z150" s="1380"/>
      <c r="AA150" s="1380">
        <f t="shared" si="38"/>
        <v>1758.56</v>
      </c>
    </row>
    <row r="151" spans="2:27" hidden="1">
      <c r="B151" s="1375">
        <v>156</v>
      </c>
      <c r="C151" s="1376">
        <v>45291</v>
      </c>
      <c r="D151" s="1069"/>
      <c r="E151" s="1069"/>
      <c r="F151" s="1377"/>
      <c r="G151" s="1377"/>
      <c r="H151" s="1377">
        <v>29.98</v>
      </c>
      <c r="I151" s="1377"/>
      <c r="J151" s="1377"/>
      <c r="K151" s="1377"/>
      <c r="L151" s="1378">
        <f t="shared" si="26"/>
        <v>29.98</v>
      </c>
      <c r="M151" s="1380">
        <v>58</v>
      </c>
      <c r="N151" s="1380"/>
      <c r="O151" s="1380">
        <f t="shared" si="37"/>
        <v>1738.84</v>
      </c>
      <c r="P151" s="1069">
        <f t="shared" si="27"/>
        <v>0</v>
      </c>
      <c r="Q151" s="1069">
        <f t="shared" si="28"/>
        <v>0</v>
      </c>
      <c r="R151" s="1069">
        <f t="shared" si="29"/>
        <v>0</v>
      </c>
      <c r="S151" s="1069">
        <f t="shared" si="30"/>
        <v>0</v>
      </c>
      <c r="T151" s="1069">
        <f t="shared" si="31"/>
        <v>21.414285714285715</v>
      </c>
      <c r="U151" s="1069">
        <f t="shared" si="32"/>
        <v>0</v>
      </c>
      <c r="V151" s="1069">
        <f t="shared" si="33"/>
        <v>0</v>
      </c>
      <c r="W151" s="1069">
        <f t="shared" si="34"/>
        <v>0</v>
      </c>
      <c r="X151" s="1378">
        <f t="shared" si="35"/>
        <v>21.414285714285715</v>
      </c>
      <c r="Y151" s="1380">
        <f t="shared" si="39"/>
        <v>81.199999999999989</v>
      </c>
      <c r="Z151" s="1380"/>
      <c r="AA151" s="1380">
        <f t="shared" si="38"/>
        <v>1738.8399999999997</v>
      </c>
    </row>
    <row r="152" spans="2:27" hidden="1">
      <c r="B152" s="1375">
        <v>157</v>
      </c>
      <c r="C152" s="1376">
        <v>45291</v>
      </c>
      <c r="D152" s="1069"/>
      <c r="E152" s="1069"/>
      <c r="F152" s="1377"/>
      <c r="G152" s="1377"/>
      <c r="H152" s="1377">
        <v>29.78</v>
      </c>
      <c r="I152" s="1377"/>
      <c r="J152" s="1377"/>
      <c r="K152" s="1377"/>
      <c r="L152" s="1378">
        <f t="shared" si="26"/>
        <v>29.78</v>
      </c>
      <c r="M152" s="1380">
        <v>58</v>
      </c>
      <c r="N152" s="1380"/>
      <c r="O152" s="1380">
        <f t="shared" si="37"/>
        <v>1727.24</v>
      </c>
      <c r="P152" s="1069">
        <f t="shared" si="27"/>
        <v>0</v>
      </c>
      <c r="Q152" s="1069">
        <f t="shared" si="28"/>
        <v>0</v>
      </c>
      <c r="R152" s="1069">
        <f t="shared" si="29"/>
        <v>0</v>
      </c>
      <c r="S152" s="1069">
        <f t="shared" si="30"/>
        <v>0</v>
      </c>
      <c r="T152" s="1069">
        <f t="shared" si="31"/>
        <v>21.271428571428572</v>
      </c>
      <c r="U152" s="1069">
        <f t="shared" si="32"/>
        <v>0</v>
      </c>
      <c r="V152" s="1069">
        <f t="shared" si="33"/>
        <v>0</v>
      </c>
      <c r="W152" s="1069">
        <f t="shared" si="34"/>
        <v>0</v>
      </c>
      <c r="X152" s="1378">
        <f t="shared" si="35"/>
        <v>21.271428571428572</v>
      </c>
      <c r="Y152" s="1380">
        <f t="shared" si="39"/>
        <v>81.199999999999989</v>
      </c>
      <c r="Z152" s="1380"/>
      <c r="AA152" s="1380">
        <f t="shared" si="38"/>
        <v>1727.2399999999998</v>
      </c>
    </row>
    <row r="153" spans="2:27" hidden="1">
      <c r="B153" s="1375">
        <v>158</v>
      </c>
      <c r="C153" s="1376">
        <v>45291</v>
      </c>
      <c r="D153" s="1069"/>
      <c r="E153" s="1069"/>
      <c r="F153" s="1377"/>
      <c r="G153" s="1377"/>
      <c r="H153" s="1377">
        <v>15.86</v>
      </c>
      <c r="I153" s="1377"/>
      <c r="J153" s="1377"/>
      <c r="K153" s="1377"/>
      <c r="L153" s="1378">
        <f t="shared" si="26"/>
        <v>15.86</v>
      </c>
      <c r="M153" s="1380">
        <v>58</v>
      </c>
      <c r="N153" s="1380"/>
      <c r="O153" s="1380">
        <f t="shared" si="37"/>
        <v>919.88</v>
      </c>
      <c r="P153" s="1069">
        <f t="shared" si="27"/>
        <v>0</v>
      </c>
      <c r="Q153" s="1069">
        <f t="shared" si="28"/>
        <v>0</v>
      </c>
      <c r="R153" s="1069">
        <f t="shared" si="29"/>
        <v>0</v>
      </c>
      <c r="S153" s="1069">
        <f t="shared" si="30"/>
        <v>0</v>
      </c>
      <c r="T153" s="1069">
        <f t="shared" si="31"/>
        <v>11.328571428571429</v>
      </c>
      <c r="U153" s="1069">
        <f t="shared" si="32"/>
        <v>0</v>
      </c>
      <c r="V153" s="1069">
        <f t="shared" si="33"/>
        <v>0</v>
      </c>
      <c r="W153" s="1069">
        <f t="shared" si="34"/>
        <v>0</v>
      </c>
      <c r="X153" s="1378">
        <f t="shared" si="35"/>
        <v>11.328571428571429</v>
      </c>
      <c r="Y153" s="1380">
        <f t="shared" si="39"/>
        <v>81.199999999999989</v>
      </c>
      <c r="Z153" s="1380"/>
      <c r="AA153" s="1380">
        <f t="shared" si="38"/>
        <v>919.87999999999988</v>
      </c>
    </row>
    <row r="154" spans="2:27" hidden="1">
      <c r="B154" s="1375">
        <v>159</v>
      </c>
      <c r="C154" s="1376">
        <v>45291</v>
      </c>
      <c r="D154" s="1069"/>
      <c r="E154" s="1069"/>
      <c r="F154" s="1377"/>
      <c r="G154" s="1377"/>
      <c r="H154" s="1377">
        <v>20.72</v>
      </c>
      <c r="I154" s="1377"/>
      <c r="J154" s="1377"/>
      <c r="K154" s="1377"/>
      <c r="L154" s="1378">
        <f t="shared" si="26"/>
        <v>20.72</v>
      </c>
      <c r="M154" s="1380">
        <v>58</v>
      </c>
      <c r="N154" s="1380"/>
      <c r="O154" s="1380">
        <f t="shared" si="37"/>
        <v>1201.76</v>
      </c>
      <c r="P154" s="1069">
        <f t="shared" si="27"/>
        <v>0</v>
      </c>
      <c r="Q154" s="1069">
        <f t="shared" si="28"/>
        <v>0</v>
      </c>
      <c r="R154" s="1069">
        <f t="shared" si="29"/>
        <v>0</v>
      </c>
      <c r="S154" s="1069">
        <f t="shared" si="30"/>
        <v>0</v>
      </c>
      <c r="T154" s="1069">
        <f t="shared" si="31"/>
        <v>14.8</v>
      </c>
      <c r="U154" s="1069">
        <f t="shared" si="32"/>
        <v>0</v>
      </c>
      <c r="V154" s="1069">
        <f t="shared" si="33"/>
        <v>0</v>
      </c>
      <c r="W154" s="1069">
        <f t="shared" si="34"/>
        <v>0</v>
      </c>
      <c r="X154" s="1378">
        <f t="shared" si="35"/>
        <v>14.8</v>
      </c>
      <c r="Y154" s="1380">
        <f t="shared" si="39"/>
        <v>81.199999999999989</v>
      </c>
      <c r="Z154" s="1380"/>
      <c r="AA154" s="1380">
        <f t="shared" si="38"/>
        <v>1201.76</v>
      </c>
    </row>
    <row r="155" spans="2:27" hidden="1">
      <c r="B155" s="1375">
        <v>160</v>
      </c>
      <c r="C155" s="1376">
        <v>45291</v>
      </c>
      <c r="D155" s="1069"/>
      <c r="E155" s="1069"/>
      <c r="F155" s="1377"/>
      <c r="G155" s="1377"/>
      <c r="H155" s="1377">
        <v>26.28</v>
      </c>
      <c r="I155" s="1377"/>
      <c r="J155" s="1377"/>
      <c r="K155" s="1377"/>
      <c r="L155" s="1378">
        <f t="shared" si="26"/>
        <v>26.28</v>
      </c>
      <c r="M155" s="1380">
        <v>58</v>
      </c>
      <c r="N155" s="1380"/>
      <c r="O155" s="1380">
        <f t="shared" si="37"/>
        <v>1524.24</v>
      </c>
      <c r="P155" s="1069">
        <f t="shared" si="27"/>
        <v>0</v>
      </c>
      <c r="Q155" s="1069">
        <f t="shared" si="28"/>
        <v>0</v>
      </c>
      <c r="R155" s="1069">
        <f t="shared" si="29"/>
        <v>0</v>
      </c>
      <c r="S155" s="1069">
        <f t="shared" si="30"/>
        <v>0</v>
      </c>
      <c r="T155" s="1069">
        <f t="shared" si="31"/>
        <v>18.771428571428572</v>
      </c>
      <c r="U155" s="1069">
        <f t="shared" si="32"/>
        <v>0</v>
      </c>
      <c r="V155" s="1069">
        <f t="shared" si="33"/>
        <v>0</v>
      </c>
      <c r="W155" s="1069">
        <f t="shared" si="34"/>
        <v>0</v>
      </c>
      <c r="X155" s="1378">
        <f t="shared" si="35"/>
        <v>18.771428571428572</v>
      </c>
      <c r="Y155" s="1380">
        <f t="shared" si="39"/>
        <v>81.199999999999989</v>
      </c>
      <c r="Z155" s="1380"/>
      <c r="AA155" s="1380">
        <f t="shared" si="38"/>
        <v>1524.2399999999998</v>
      </c>
    </row>
    <row r="156" spans="2:27" hidden="1">
      <c r="B156" s="1375">
        <v>161</v>
      </c>
      <c r="C156" s="1376">
        <v>45291</v>
      </c>
      <c r="D156" s="1069"/>
      <c r="E156" s="1069"/>
      <c r="F156" s="1377"/>
      <c r="G156" s="1377"/>
      <c r="H156" s="1377"/>
      <c r="I156" s="1377"/>
      <c r="J156" s="1377">
        <v>72.040000000000006</v>
      </c>
      <c r="K156" s="1377"/>
      <c r="L156" s="1378">
        <f t="shared" si="26"/>
        <v>72.040000000000006</v>
      </c>
      <c r="M156" s="1380">
        <v>58</v>
      </c>
      <c r="N156" s="1380"/>
      <c r="O156" s="1380">
        <f t="shared" si="37"/>
        <v>4178.3200000000006</v>
      </c>
      <c r="P156" s="1069">
        <f t="shared" si="27"/>
        <v>0</v>
      </c>
      <c r="Q156" s="1069">
        <f t="shared" si="28"/>
        <v>0</v>
      </c>
      <c r="R156" s="1069">
        <f t="shared" si="29"/>
        <v>0</v>
      </c>
      <c r="S156" s="1069">
        <f t="shared" si="30"/>
        <v>0</v>
      </c>
      <c r="T156" s="1069">
        <f t="shared" si="31"/>
        <v>0</v>
      </c>
      <c r="U156" s="1069">
        <f t="shared" si="32"/>
        <v>0</v>
      </c>
      <c r="V156" s="1069">
        <f t="shared" si="33"/>
        <v>51.457142857142863</v>
      </c>
      <c r="W156" s="1069">
        <f t="shared" si="34"/>
        <v>0</v>
      </c>
      <c r="X156" s="1378">
        <f t="shared" si="35"/>
        <v>51.457142857142863</v>
      </c>
      <c r="Y156" s="1380">
        <f t="shared" si="39"/>
        <v>81.199999999999989</v>
      </c>
      <c r="Z156" s="1380"/>
      <c r="AA156" s="1380">
        <f t="shared" si="38"/>
        <v>4178.32</v>
      </c>
    </row>
    <row r="157" spans="2:27" hidden="1">
      <c r="B157" s="1375">
        <v>162</v>
      </c>
      <c r="C157" s="1376">
        <v>45291</v>
      </c>
      <c r="D157" s="1069"/>
      <c r="E157" s="1069"/>
      <c r="F157" s="1377"/>
      <c r="G157" s="1377"/>
      <c r="H157" s="1377"/>
      <c r="I157" s="1377"/>
      <c r="J157" s="1377">
        <v>71.239999999999995</v>
      </c>
      <c r="K157" s="1377"/>
      <c r="L157" s="1378">
        <f t="shared" si="26"/>
        <v>71.239999999999995</v>
      </c>
      <c r="M157" s="1380">
        <v>58</v>
      </c>
      <c r="N157" s="1380"/>
      <c r="O157" s="1380">
        <f t="shared" si="37"/>
        <v>4131.92</v>
      </c>
      <c r="P157" s="1069">
        <f t="shared" si="27"/>
        <v>0</v>
      </c>
      <c r="Q157" s="1069">
        <f t="shared" si="28"/>
        <v>0</v>
      </c>
      <c r="R157" s="1069">
        <f t="shared" si="29"/>
        <v>0</v>
      </c>
      <c r="S157" s="1069">
        <f t="shared" si="30"/>
        <v>0</v>
      </c>
      <c r="T157" s="1069">
        <f t="shared" si="31"/>
        <v>0</v>
      </c>
      <c r="U157" s="1069">
        <f t="shared" si="32"/>
        <v>0</v>
      </c>
      <c r="V157" s="1069">
        <f t="shared" si="33"/>
        <v>50.885714285714286</v>
      </c>
      <c r="W157" s="1069">
        <f t="shared" si="34"/>
        <v>0</v>
      </c>
      <c r="X157" s="1378">
        <f t="shared" si="35"/>
        <v>50.885714285714286</v>
      </c>
      <c r="Y157" s="1380">
        <f t="shared" si="39"/>
        <v>81.199999999999989</v>
      </c>
      <c r="Z157" s="1380"/>
      <c r="AA157" s="1380">
        <f t="shared" si="38"/>
        <v>4131.9199999999992</v>
      </c>
    </row>
    <row r="158" spans="2:27" hidden="1">
      <c r="B158" s="1375">
        <v>163</v>
      </c>
      <c r="C158" s="1376">
        <v>45291</v>
      </c>
      <c r="D158" s="1069"/>
      <c r="E158" s="1069"/>
      <c r="F158" s="1377"/>
      <c r="G158" s="1377"/>
      <c r="H158" s="1377"/>
      <c r="I158" s="1377"/>
      <c r="J158" s="1377">
        <v>69.64</v>
      </c>
      <c r="K158" s="1377"/>
      <c r="L158" s="1378">
        <f t="shared" si="26"/>
        <v>69.64</v>
      </c>
      <c r="M158" s="1380">
        <v>58</v>
      </c>
      <c r="N158" s="1380"/>
      <c r="O158" s="1380">
        <f t="shared" si="37"/>
        <v>4039.12</v>
      </c>
      <c r="P158" s="1069">
        <f t="shared" si="27"/>
        <v>0</v>
      </c>
      <c r="Q158" s="1069">
        <f t="shared" si="28"/>
        <v>0</v>
      </c>
      <c r="R158" s="1069">
        <f t="shared" si="29"/>
        <v>0</v>
      </c>
      <c r="S158" s="1069">
        <f t="shared" si="30"/>
        <v>0</v>
      </c>
      <c r="T158" s="1069">
        <f t="shared" si="31"/>
        <v>0</v>
      </c>
      <c r="U158" s="1069">
        <f t="shared" si="32"/>
        <v>0</v>
      </c>
      <c r="V158" s="1069">
        <f t="shared" si="33"/>
        <v>49.742857142857147</v>
      </c>
      <c r="W158" s="1069">
        <f t="shared" si="34"/>
        <v>0</v>
      </c>
      <c r="X158" s="1378">
        <f t="shared" si="35"/>
        <v>49.742857142857147</v>
      </c>
      <c r="Y158" s="1380">
        <f t="shared" si="39"/>
        <v>81.199999999999989</v>
      </c>
      <c r="Z158" s="1380"/>
      <c r="AA158" s="1380">
        <f t="shared" si="38"/>
        <v>4039.12</v>
      </c>
    </row>
    <row r="159" spans="2:27" hidden="1">
      <c r="B159" s="1375">
        <v>164</v>
      </c>
      <c r="C159" s="1376">
        <v>45291</v>
      </c>
      <c r="D159" s="1069"/>
      <c r="E159" s="1069"/>
      <c r="F159" s="1377"/>
      <c r="G159" s="1377"/>
      <c r="H159" s="1377"/>
      <c r="I159" s="1377"/>
      <c r="J159" s="1377">
        <v>67.760000000000005</v>
      </c>
      <c r="K159" s="1377"/>
      <c r="L159" s="1378">
        <f t="shared" si="26"/>
        <v>67.760000000000005</v>
      </c>
      <c r="M159" s="1380">
        <v>58</v>
      </c>
      <c r="N159" s="1380"/>
      <c r="O159" s="1380">
        <f t="shared" si="37"/>
        <v>3930.0800000000004</v>
      </c>
      <c r="P159" s="1069">
        <f t="shared" si="27"/>
        <v>0</v>
      </c>
      <c r="Q159" s="1069">
        <f t="shared" si="28"/>
        <v>0</v>
      </c>
      <c r="R159" s="1069">
        <f t="shared" si="29"/>
        <v>0</v>
      </c>
      <c r="S159" s="1069">
        <f t="shared" si="30"/>
        <v>0</v>
      </c>
      <c r="T159" s="1069">
        <f t="shared" si="31"/>
        <v>0</v>
      </c>
      <c r="U159" s="1069">
        <f t="shared" si="32"/>
        <v>0</v>
      </c>
      <c r="V159" s="1069">
        <f t="shared" si="33"/>
        <v>48.400000000000006</v>
      </c>
      <c r="W159" s="1069">
        <f t="shared" si="34"/>
        <v>0</v>
      </c>
      <c r="X159" s="1378">
        <f t="shared" si="35"/>
        <v>48.400000000000006</v>
      </c>
      <c r="Y159" s="1380">
        <f t="shared" si="39"/>
        <v>81.199999999999989</v>
      </c>
      <c r="Z159" s="1380"/>
      <c r="AA159" s="1380">
        <f t="shared" si="38"/>
        <v>3930.08</v>
      </c>
    </row>
    <row r="160" spans="2:27" hidden="1">
      <c r="B160" s="1375">
        <v>165</v>
      </c>
      <c r="C160" s="1376">
        <v>45291</v>
      </c>
      <c r="D160" s="1069"/>
      <c r="E160" s="1069"/>
      <c r="F160" s="1377"/>
      <c r="G160" s="1377"/>
      <c r="H160" s="1377"/>
      <c r="I160" s="1377"/>
      <c r="J160" s="1377">
        <v>69.739999999999995</v>
      </c>
      <c r="K160" s="1377"/>
      <c r="L160" s="1378">
        <f t="shared" si="26"/>
        <v>69.739999999999995</v>
      </c>
      <c r="M160" s="1380">
        <v>58</v>
      </c>
      <c r="N160" s="1380"/>
      <c r="O160" s="1380">
        <f t="shared" si="37"/>
        <v>4044.9199999999996</v>
      </c>
      <c r="P160" s="1069">
        <f t="shared" si="27"/>
        <v>0</v>
      </c>
      <c r="Q160" s="1069">
        <f t="shared" si="28"/>
        <v>0</v>
      </c>
      <c r="R160" s="1069">
        <f t="shared" si="29"/>
        <v>0</v>
      </c>
      <c r="S160" s="1069">
        <f t="shared" si="30"/>
        <v>0</v>
      </c>
      <c r="T160" s="1069">
        <f t="shared" si="31"/>
        <v>0</v>
      </c>
      <c r="U160" s="1069">
        <f t="shared" si="32"/>
        <v>0</v>
      </c>
      <c r="V160" s="1069">
        <f t="shared" si="33"/>
        <v>49.814285714285717</v>
      </c>
      <c r="W160" s="1069">
        <f t="shared" si="34"/>
        <v>0</v>
      </c>
      <c r="X160" s="1378">
        <f t="shared" si="35"/>
        <v>49.814285714285717</v>
      </c>
      <c r="Y160" s="1380">
        <f t="shared" si="39"/>
        <v>81.199999999999989</v>
      </c>
      <c r="Z160" s="1380"/>
      <c r="AA160" s="1380">
        <f t="shared" si="38"/>
        <v>4044.9199999999996</v>
      </c>
    </row>
    <row r="161" spans="2:27" hidden="1">
      <c r="B161" s="1375">
        <v>166</v>
      </c>
      <c r="C161" s="1376">
        <v>45291</v>
      </c>
      <c r="D161" s="1069"/>
      <c r="E161" s="1069"/>
      <c r="F161" s="1377"/>
      <c r="G161" s="1377"/>
      <c r="H161" s="1377"/>
      <c r="I161" s="1377"/>
      <c r="J161" s="1377">
        <v>72.319999999999993</v>
      </c>
      <c r="K161" s="1377"/>
      <c r="L161" s="1378">
        <f t="shared" si="26"/>
        <v>72.319999999999993</v>
      </c>
      <c r="M161" s="1380">
        <v>58</v>
      </c>
      <c r="N161" s="1380"/>
      <c r="O161" s="1380">
        <f t="shared" si="37"/>
        <v>4194.5599999999995</v>
      </c>
      <c r="P161" s="1069">
        <f t="shared" si="27"/>
        <v>0</v>
      </c>
      <c r="Q161" s="1069">
        <f t="shared" si="28"/>
        <v>0</v>
      </c>
      <c r="R161" s="1069">
        <f t="shared" si="29"/>
        <v>0</v>
      </c>
      <c r="S161" s="1069">
        <f t="shared" si="30"/>
        <v>0</v>
      </c>
      <c r="T161" s="1069">
        <f t="shared" si="31"/>
        <v>0</v>
      </c>
      <c r="U161" s="1069">
        <f t="shared" si="32"/>
        <v>0</v>
      </c>
      <c r="V161" s="1069">
        <f t="shared" si="33"/>
        <v>51.657142857142858</v>
      </c>
      <c r="W161" s="1069">
        <f t="shared" si="34"/>
        <v>0</v>
      </c>
      <c r="X161" s="1378">
        <f t="shared" si="35"/>
        <v>51.657142857142858</v>
      </c>
      <c r="Y161" s="1380">
        <f t="shared" si="39"/>
        <v>81.199999999999989</v>
      </c>
      <c r="Z161" s="1380"/>
      <c r="AA161" s="1380">
        <f t="shared" si="38"/>
        <v>4194.5599999999995</v>
      </c>
    </row>
    <row r="162" spans="2:27" hidden="1">
      <c r="B162" s="1375">
        <v>167</v>
      </c>
      <c r="C162" s="1376">
        <v>45291</v>
      </c>
      <c r="D162" s="1069"/>
      <c r="E162" s="1069"/>
      <c r="F162" s="1377"/>
      <c r="G162" s="1377"/>
      <c r="H162" s="1377"/>
      <c r="I162" s="1377"/>
      <c r="J162" s="1377">
        <v>72.180000000000007</v>
      </c>
      <c r="K162" s="1377"/>
      <c r="L162" s="1378">
        <f t="shared" si="26"/>
        <v>72.180000000000007</v>
      </c>
      <c r="M162" s="1380">
        <v>58</v>
      </c>
      <c r="N162" s="1380"/>
      <c r="O162" s="1380">
        <f t="shared" si="37"/>
        <v>4186.4400000000005</v>
      </c>
      <c r="P162" s="1069">
        <f t="shared" si="27"/>
        <v>0</v>
      </c>
      <c r="Q162" s="1069">
        <f t="shared" si="28"/>
        <v>0</v>
      </c>
      <c r="R162" s="1069">
        <f t="shared" si="29"/>
        <v>0</v>
      </c>
      <c r="S162" s="1069">
        <f t="shared" si="30"/>
        <v>0</v>
      </c>
      <c r="T162" s="1069">
        <f t="shared" si="31"/>
        <v>0</v>
      </c>
      <c r="U162" s="1069">
        <f t="shared" si="32"/>
        <v>0</v>
      </c>
      <c r="V162" s="1069">
        <f t="shared" si="33"/>
        <v>51.557142857142864</v>
      </c>
      <c r="W162" s="1069">
        <f t="shared" si="34"/>
        <v>0</v>
      </c>
      <c r="X162" s="1378">
        <f t="shared" si="35"/>
        <v>51.557142857142864</v>
      </c>
      <c r="Y162" s="1380">
        <f t="shared" si="39"/>
        <v>81.199999999999989</v>
      </c>
      <c r="Z162" s="1380"/>
      <c r="AA162" s="1380">
        <f t="shared" si="38"/>
        <v>4186.4399999999996</v>
      </c>
    </row>
    <row r="163" spans="2:27" hidden="1">
      <c r="B163" s="1375">
        <v>168</v>
      </c>
      <c r="C163" s="1376">
        <v>45291</v>
      </c>
      <c r="D163" s="1069"/>
      <c r="E163" s="1069"/>
      <c r="F163" s="1377"/>
      <c r="G163" s="1377"/>
      <c r="H163" s="1377"/>
      <c r="I163" s="1377"/>
      <c r="J163" s="1377">
        <v>70.38</v>
      </c>
      <c r="K163" s="1377"/>
      <c r="L163" s="1378">
        <f t="shared" si="26"/>
        <v>70.38</v>
      </c>
      <c r="M163" s="1380">
        <v>58</v>
      </c>
      <c r="N163" s="1380"/>
      <c r="O163" s="1380">
        <f t="shared" si="37"/>
        <v>4082.04</v>
      </c>
      <c r="P163" s="1069">
        <f t="shared" si="27"/>
        <v>0</v>
      </c>
      <c r="Q163" s="1069">
        <f t="shared" si="28"/>
        <v>0</v>
      </c>
      <c r="R163" s="1069">
        <f t="shared" si="29"/>
        <v>0</v>
      </c>
      <c r="S163" s="1069">
        <f t="shared" si="30"/>
        <v>0</v>
      </c>
      <c r="T163" s="1069">
        <f t="shared" si="31"/>
        <v>0</v>
      </c>
      <c r="U163" s="1069">
        <f t="shared" si="32"/>
        <v>0</v>
      </c>
      <c r="V163" s="1069">
        <f t="shared" si="33"/>
        <v>50.271428571428572</v>
      </c>
      <c r="W163" s="1069">
        <f t="shared" si="34"/>
        <v>0</v>
      </c>
      <c r="X163" s="1378">
        <f t="shared" si="35"/>
        <v>50.271428571428572</v>
      </c>
      <c r="Y163" s="1380">
        <f t="shared" si="39"/>
        <v>81.199999999999989</v>
      </c>
      <c r="Z163" s="1380"/>
      <c r="AA163" s="1380">
        <f t="shared" si="38"/>
        <v>4082.0399999999995</v>
      </c>
    </row>
    <row r="164" spans="2:27" hidden="1">
      <c r="B164" s="1375">
        <v>169</v>
      </c>
      <c r="C164" s="1376">
        <v>45291</v>
      </c>
      <c r="D164" s="1069"/>
      <c r="E164" s="1069"/>
      <c r="F164" s="1377"/>
      <c r="G164" s="1377"/>
      <c r="H164" s="1377"/>
      <c r="I164" s="1377"/>
      <c r="J164" s="1377">
        <v>70.34</v>
      </c>
      <c r="K164" s="1377"/>
      <c r="L164" s="1378">
        <f t="shared" si="26"/>
        <v>70.34</v>
      </c>
      <c r="M164" s="1380">
        <v>58</v>
      </c>
      <c r="N164" s="1380"/>
      <c r="O164" s="1380">
        <f t="shared" si="37"/>
        <v>4079.7200000000003</v>
      </c>
      <c r="P164" s="1069">
        <f t="shared" si="27"/>
        <v>0</v>
      </c>
      <c r="Q164" s="1069">
        <f t="shared" si="28"/>
        <v>0</v>
      </c>
      <c r="R164" s="1069">
        <f t="shared" si="29"/>
        <v>0</v>
      </c>
      <c r="S164" s="1069">
        <f t="shared" si="30"/>
        <v>0</v>
      </c>
      <c r="T164" s="1069">
        <f t="shared" si="31"/>
        <v>0</v>
      </c>
      <c r="U164" s="1069">
        <f t="shared" si="32"/>
        <v>0</v>
      </c>
      <c r="V164" s="1069">
        <f t="shared" si="33"/>
        <v>50.242857142857147</v>
      </c>
      <c r="W164" s="1069">
        <f t="shared" si="34"/>
        <v>0</v>
      </c>
      <c r="X164" s="1378">
        <f t="shared" si="35"/>
        <v>50.242857142857147</v>
      </c>
      <c r="Y164" s="1380">
        <f t="shared" si="39"/>
        <v>81.199999999999989</v>
      </c>
      <c r="Z164" s="1380"/>
      <c r="AA164" s="1380">
        <f t="shared" si="38"/>
        <v>4079.72</v>
      </c>
    </row>
    <row r="165" spans="2:27" hidden="1">
      <c r="B165" s="1375">
        <v>170</v>
      </c>
      <c r="C165" s="1376">
        <v>45291</v>
      </c>
      <c r="D165" s="1069"/>
      <c r="E165" s="1069"/>
      <c r="F165" s="1377"/>
      <c r="G165" s="1377"/>
      <c r="H165" s="1377"/>
      <c r="I165" s="1377"/>
      <c r="J165" s="1377">
        <v>71.78</v>
      </c>
      <c r="K165" s="1377"/>
      <c r="L165" s="1378">
        <f t="shared" si="26"/>
        <v>71.78</v>
      </c>
      <c r="M165" s="1380">
        <v>58</v>
      </c>
      <c r="N165" s="1380"/>
      <c r="O165" s="1380">
        <f t="shared" si="37"/>
        <v>4163.24</v>
      </c>
      <c r="P165" s="1069">
        <f t="shared" si="27"/>
        <v>0</v>
      </c>
      <c r="Q165" s="1069">
        <f t="shared" si="28"/>
        <v>0</v>
      </c>
      <c r="R165" s="1069">
        <f t="shared" si="29"/>
        <v>0</v>
      </c>
      <c r="S165" s="1069">
        <f t="shared" si="30"/>
        <v>0</v>
      </c>
      <c r="T165" s="1069">
        <f t="shared" si="31"/>
        <v>0</v>
      </c>
      <c r="U165" s="1069">
        <f t="shared" si="32"/>
        <v>0</v>
      </c>
      <c r="V165" s="1069">
        <f t="shared" si="33"/>
        <v>51.271428571428572</v>
      </c>
      <c r="W165" s="1069">
        <f t="shared" si="34"/>
        <v>0</v>
      </c>
      <c r="X165" s="1378">
        <f t="shared" si="35"/>
        <v>51.271428571428572</v>
      </c>
      <c r="Y165" s="1380">
        <f t="shared" si="39"/>
        <v>81.199999999999989</v>
      </c>
      <c r="Z165" s="1380"/>
      <c r="AA165" s="1380">
        <f t="shared" si="38"/>
        <v>4163.24</v>
      </c>
    </row>
    <row r="166" spans="2:27" hidden="1">
      <c r="B166" s="1375">
        <v>171</v>
      </c>
      <c r="C166" s="1376">
        <v>45291</v>
      </c>
      <c r="D166" s="1069"/>
      <c r="E166" s="1069"/>
      <c r="F166" s="1377"/>
      <c r="G166" s="1377"/>
      <c r="H166" s="1377"/>
      <c r="I166" s="1377"/>
      <c r="J166" s="1377">
        <v>72.16</v>
      </c>
      <c r="K166" s="1377"/>
      <c r="L166" s="1378">
        <f t="shared" si="26"/>
        <v>72.16</v>
      </c>
      <c r="M166" s="1380">
        <v>58</v>
      </c>
      <c r="N166" s="1380"/>
      <c r="O166" s="1380">
        <f t="shared" si="37"/>
        <v>4185.28</v>
      </c>
      <c r="P166" s="1069">
        <f t="shared" si="27"/>
        <v>0</v>
      </c>
      <c r="Q166" s="1069">
        <f t="shared" si="28"/>
        <v>0</v>
      </c>
      <c r="R166" s="1069">
        <f t="shared" si="29"/>
        <v>0</v>
      </c>
      <c r="S166" s="1069">
        <f t="shared" si="30"/>
        <v>0</v>
      </c>
      <c r="T166" s="1069">
        <f t="shared" si="31"/>
        <v>0</v>
      </c>
      <c r="U166" s="1069">
        <f t="shared" si="32"/>
        <v>0</v>
      </c>
      <c r="V166" s="1069">
        <f t="shared" si="33"/>
        <v>51.542857142857144</v>
      </c>
      <c r="W166" s="1069">
        <f t="shared" si="34"/>
        <v>0</v>
      </c>
      <c r="X166" s="1378">
        <f t="shared" si="35"/>
        <v>51.542857142857144</v>
      </c>
      <c r="Y166" s="1380">
        <f t="shared" si="39"/>
        <v>81.199999999999989</v>
      </c>
      <c r="Z166" s="1380"/>
      <c r="AA166" s="1380">
        <f t="shared" si="38"/>
        <v>4185.28</v>
      </c>
    </row>
    <row r="167" spans="2:27" hidden="1">
      <c r="B167" s="1375">
        <v>172</v>
      </c>
      <c r="C167" s="1376">
        <v>45291</v>
      </c>
      <c r="D167" s="1069"/>
      <c r="E167" s="1069"/>
      <c r="F167" s="1377"/>
      <c r="G167" s="1377"/>
      <c r="H167" s="1377"/>
      <c r="I167" s="1377"/>
      <c r="J167" s="1377">
        <v>72.540000000000006</v>
      </c>
      <c r="K167" s="1377"/>
      <c r="L167" s="1378">
        <f t="shared" si="26"/>
        <v>72.540000000000006</v>
      </c>
      <c r="M167" s="1380">
        <v>58</v>
      </c>
      <c r="N167" s="1380"/>
      <c r="O167" s="1380">
        <f t="shared" si="37"/>
        <v>4207.3200000000006</v>
      </c>
      <c r="P167" s="1069">
        <f t="shared" si="27"/>
        <v>0</v>
      </c>
      <c r="Q167" s="1069">
        <f t="shared" si="28"/>
        <v>0</v>
      </c>
      <c r="R167" s="1069">
        <f t="shared" si="29"/>
        <v>0</v>
      </c>
      <c r="S167" s="1069">
        <f t="shared" si="30"/>
        <v>0</v>
      </c>
      <c r="T167" s="1069">
        <f t="shared" si="31"/>
        <v>0</v>
      </c>
      <c r="U167" s="1069">
        <f t="shared" si="32"/>
        <v>0</v>
      </c>
      <c r="V167" s="1069">
        <f t="shared" si="33"/>
        <v>51.814285714285724</v>
      </c>
      <c r="W167" s="1069">
        <f t="shared" si="34"/>
        <v>0</v>
      </c>
      <c r="X167" s="1378">
        <f t="shared" si="35"/>
        <v>51.814285714285724</v>
      </c>
      <c r="Y167" s="1380">
        <f t="shared" si="39"/>
        <v>81.199999999999989</v>
      </c>
      <c r="Z167" s="1380"/>
      <c r="AA167" s="1380">
        <f t="shared" si="38"/>
        <v>4207.3200000000006</v>
      </c>
    </row>
    <row r="168" spans="2:27" hidden="1">
      <c r="B168" s="1375">
        <v>173</v>
      </c>
      <c r="C168" s="1376">
        <v>45291</v>
      </c>
      <c r="D168" s="1069"/>
      <c r="E168" s="1069"/>
      <c r="F168" s="1377"/>
      <c r="G168" s="1377"/>
      <c r="H168" s="1377"/>
      <c r="I168" s="1377"/>
      <c r="J168" s="1377">
        <v>50.98</v>
      </c>
      <c r="K168" s="1377"/>
      <c r="L168" s="1378">
        <f t="shared" si="26"/>
        <v>50.98</v>
      </c>
      <c r="M168" s="1380">
        <v>58</v>
      </c>
      <c r="N168" s="1380"/>
      <c r="O168" s="1380">
        <f t="shared" si="37"/>
        <v>2956.8399999999997</v>
      </c>
      <c r="P168" s="1069">
        <f t="shared" si="27"/>
        <v>0</v>
      </c>
      <c r="Q168" s="1069">
        <f t="shared" si="28"/>
        <v>0</v>
      </c>
      <c r="R168" s="1069">
        <f t="shared" si="29"/>
        <v>0</v>
      </c>
      <c r="S168" s="1069">
        <f t="shared" si="30"/>
        <v>0</v>
      </c>
      <c r="T168" s="1069">
        <f t="shared" si="31"/>
        <v>0</v>
      </c>
      <c r="U168" s="1069">
        <f t="shared" si="32"/>
        <v>0</v>
      </c>
      <c r="V168" s="1069">
        <f t="shared" si="33"/>
        <v>36.414285714285711</v>
      </c>
      <c r="W168" s="1069">
        <f t="shared" si="34"/>
        <v>0</v>
      </c>
      <c r="X168" s="1378">
        <f t="shared" si="35"/>
        <v>36.414285714285711</v>
      </c>
      <c r="Y168" s="1380">
        <f t="shared" si="39"/>
        <v>81.199999999999989</v>
      </c>
      <c r="Z168" s="1380"/>
      <c r="AA168" s="1380">
        <f t="shared" si="38"/>
        <v>2956.8399999999992</v>
      </c>
    </row>
    <row r="169" spans="2:27" hidden="1">
      <c r="B169" s="1375">
        <v>174</v>
      </c>
      <c r="C169" s="1376">
        <v>45291</v>
      </c>
      <c r="D169" s="1069"/>
      <c r="E169" s="1069"/>
      <c r="F169" s="1377"/>
      <c r="G169" s="1377"/>
      <c r="H169" s="1377"/>
      <c r="I169" s="1377"/>
      <c r="J169" s="1377">
        <v>72.400000000000006</v>
      </c>
      <c r="K169" s="1377"/>
      <c r="L169" s="1378">
        <f t="shared" ref="L169:L187" si="40">SUM(D169:K169)</f>
        <v>72.400000000000006</v>
      </c>
      <c r="M169" s="1380">
        <v>58</v>
      </c>
      <c r="N169" s="1380"/>
      <c r="O169" s="1380">
        <f t="shared" si="37"/>
        <v>4199.2000000000007</v>
      </c>
      <c r="P169" s="1069">
        <f t="shared" ref="P169:P187" si="41">(D169/$P$6)</f>
        <v>0</v>
      </c>
      <c r="Q169" s="1069">
        <f t="shared" ref="Q169:Q187" si="42">(E169/$P$6)</f>
        <v>0</v>
      </c>
      <c r="R169" s="1069">
        <f t="shared" ref="R169:R187" si="43">(F169/$P$6)</f>
        <v>0</v>
      </c>
      <c r="S169" s="1069">
        <f t="shared" ref="S169:S187" si="44">(G169/$P$6)</f>
        <v>0</v>
      </c>
      <c r="T169" s="1069">
        <f t="shared" ref="T169:T187" si="45">(H169/$P$6)</f>
        <v>0</v>
      </c>
      <c r="U169" s="1069">
        <f t="shared" ref="U169:U187" si="46">(I169/$P$6)</f>
        <v>0</v>
      </c>
      <c r="V169" s="1069">
        <f t="shared" ref="V169:V187" si="47">(J169/$P$6)</f>
        <v>51.714285714285722</v>
      </c>
      <c r="W169" s="1069">
        <f t="shared" ref="W169:W187" si="48">(K169/$P$6)</f>
        <v>0</v>
      </c>
      <c r="X169" s="1378">
        <f t="shared" ref="X169:X200" si="49">SUM(P169:W169)</f>
        <v>51.714285714285722</v>
      </c>
      <c r="Y169" s="1380">
        <f t="shared" si="39"/>
        <v>81.199999999999989</v>
      </c>
      <c r="Z169" s="1380"/>
      <c r="AA169" s="1380">
        <f t="shared" si="38"/>
        <v>4199.2</v>
      </c>
    </row>
    <row r="170" spans="2:27" hidden="1">
      <c r="B170" s="1375">
        <v>175</v>
      </c>
      <c r="C170" s="1376">
        <v>45291</v>
      </c>
      <c r="D170" s="1069"/>
      <c r="E170" s="1069"/>
      <c r="F170" s="1377"/>
      <c r="G170" s="1377"/>
      <c r="H170" s="1377"/>
      <c r="I170" s="1377"/>
      <c r="J170" s="1377">
        <v>72.040000000000006</v>
      </c>
      <c r="K170" s="1377"/>
      <c r="L170" s="1378">
        <f t="shared" si="40"/>
        <v>72.040000000000006</v>
      </c>
      <c r="M170" s="1380">
        <v>58</v>
      </c>
      <c r="N170" s="1380"/>
      <c r="O170" s="1380">
        <f t="shared" si="37"/>
        <v>4178.3200000000006</v>
      </c>
      <c r="P170" s="1069">
        <f t="shared" si="41"/>
        <v>0</v>
      </c>
      <c r="Q170" s="1069">
        <f t="shared" si="42"/>
        <v>0</v>
      </c>
      <c r="R170" s="1069">
        <f t="shared" si="43"/>
        <v>0</v>
      </c>
      <c r="S170" s="1069">
        <f t="shared" si="44"/>
        <v>0</v>
      </c>
      <c r="T170" s="1069">
        <f t="shared" si="45"/>
        <v>0</v>
      </c>
      <c r="U170" s="1069">
        <f t="shared" si="46"/>
        <v>0</v>
      </c>
      <c r="V170" s="1069">
        <f t="shared" si="47"/>
        <v>51.457142857142863</v>
      </c>
      <c r="W170" s="1069">
        <f t="shared" si="48"/>
        <v>0</v>
      </c>
      <c r="X170" s="1378">
        <f t="shared" si="49"/>
        <v>51.457142857142863</v>
      </c>
      <c r="Y170" s="1380">
        <f t="shared" si="39"/>
        <v>81.199999999999989</v>
      </c>
      <c r="Z170" s="1380"/>
      <c r="AA170" s="1380">
        <f t="shared" si="38"/>
        <v>4178.32</v>
      </c>
    </row>
    <row r="171" spans="2:27" hidden="1">
      <c r="B171" s="1375">
        <v>176</v>
      </c>
      <c r="C171" s="1376">
        <v>45291</v>
      </c>
      <c r="D171" s="1069"/>
      <c r="E171" s="1069"/>
      <c r="F171" s="1377"/>
      <c r="G171" s="1377"/>
      <c r="H171" s="1377"/>
      <c r="I171" s="1377"/>
      <c r="J171" s="1377">
        <v>64.36</v>
      </c>
      <c r="K171" s="1377"/>
      <c r="L171" s="1378">
        <f t="shared" si="40"/>
        <v>64.36</v>
      </c>
      <c r="M171" s="1380">
        <v>58</v>
      </c>
      <c r="N171" s="1380"/>
      <c r="O171" s="1380">
        <f t="shared" si="37"/>
        <v>3732.88</v>
      </c>
      <c r="P171" s="1069">
        <f t="shared" si="41"/>
        <v>0</v>
      </c>
      <c r="Q171" s="1069">
        <f t="shared" si="42"/>
        <v>0</v>
      </c>
      <c r="R171" s="1069">
        <f t="shared" si="43"/>
        <v>0</v>
      </c>
      <c r="S171" s="1069">
        <f t="shared" si="44"/>
        <v>0</v>
      </c>
      <c r="T171" s="1069">
        <f t="shared" si="45"/>
        <v>0</v>
      </c>
      <c r="U171" s="1069">
        <f t="shared" si="46"/>
        <v>0</v>
      </c>
      <c r="V171" s="1069">
        <f t="shared" si="47"/>
        <v>45.971428571428575</v>
      </c>
      <c r="W171" s="1069">
        <f t="shared" si="48"/>
        <v>0</v>
      </c>
      <c r="X171" s="1378">
        <f t="shared" si="49"/>
        <v>45.971428571428575</v>
      </c>
      <c r="Y171" s="1380">
        <f t="shared" si="39"/>
        <v>81.199999999999989</v>
      </c>
      <c r="Z171" s="1380"/>
      <c r="AA171" s="1380">
        <f t="shared" si="38"/>
        <v>3732.8799999999997</v>
      </c>
    </row>
    <row r="172" spans="2:27" hidden="1">
      <c r="B172" s="1375">
        <v>177</v>
      </c>
      <c r="C172" s="1376">
        <v>45291</v>
      </c>
      <c r="D172" s="1069"/>
      <c r="E172" s="1069"/>
      <c r="F172" s="1377"/>
      <c r="G172" s="1377"/>
      <c r="H172" s="1377"/>
      <c r="I172" s="1377"/>
      <c r="J172" s="1377">
        <v>25.28</v>
      </c>
      <c r="K172" s="1377"/>
      <c r="L172" s="1378">
        <f t="shared" si="40"/>
        <v>25.28</v>
      </c>
      <c r="M172" s="1380">
        <v>58</v>
      </c>
      <c r="N172" s="1380"/>
      <c r="O172" s="1380">
        <f t="shared" si="37"/>
        <v>1466.24</v>
      </c>
      <c r="P172" s="1069">
        <f t="shared" si="41"/>
        <v>0</v>
      </c>
      <c r="Q172" s="1069">
        <f t="shared" si="42"/>
        <v>0</v>
      </c>
      <c r="R172" s="1069">
        <f t="shared" si="43"/>
        <v>0</v>
      </c>
      <c r="S172" s="1069">
        <f t="shared" si="44"/>
        <v>0</v>
      </c>
      <c r="T172" s="1069">
        <f t="shared" si="45"/>
        <v>0</v>
      </c>
      <c r="U172" s="1069">
        <f t="shared" si="46"/>
        <v>0</v>
      </c>
      <c r="V172" s="1069">
        <f t="shared" si="47"/>
        <v>18.05714285714286</v>
      </c>
      <c r="W172" s="1069">
        <f t="shared" si="48"/>
        <v>0</v>
      </c>
      <c r="X172" s="1378">
        <f t="shared" si="49"/>
        <v>18.05714285714286</v>
      </c>
      <c r="Y172" s="1380">
        <f t="shared" si="39"/>
        <v>81.199999999999989</v>
      </c>
      <c r="Z172" s="1380"/>
      <c r="AA172" s="1380">
        <f t="shared" si="38"/>
        <v>1466.24</v>
      </c>
    </row>
    <row r="173" spans="2:27" hidden="1">
      <c r="B173" s="1375">
        <v>178</v>
      </c>
      <c r="C173" s="1376">
        <v>45291</v>
      </c>
      <c r="D173" s="1069"/>
      <c r="E173" s="1069"/>
      <c r="F173" s="1377"/>
      <c r="G173" s="1377"/>
      <c r="H173" s="1377"/>
      <c r="I173" s="1377"/>
      <c r="J173" s="1377">
        <v>70.099999999999994</v>
      </c>
      <c r="K173" s="1377"/>
      <c r="L173" s="1378">
        <f t="shared" si="40"/>
        <v>70.099999999999994</v>
      </c>
      <c r="M173" s="1380">
        <v>58</v>
      </c>
      <c r="N173" s="1380"/>
      <c r="O173" s="1380">
        <f t="shared" si="37"/>
        <v>4065.7999999999997</v>
      </c>
      <c r="P173" s="1069">
        <f t="shared" si="41"/>
        <v>0</v>
      </c>
      <c r="Q173" s="1069">
        <f t="shared" si="42"/>
        <v>0</v>
      </c>
      <c r="R173" s="1069">
        <f t="shared" si="43"/>
        <v>0</v>
      </c>
      <c r="S173" s="1069">
        <f t="shared" si="44"/>
        <v>0</v>
      </c>
      <c r="T173" s="1069">
        <f t="shared" si="45"/>
        <v>0</v>
      </c>
      <c r="U173" s="1069">
        <f t="shared" si="46"/>
        <v>0</v>
      </c>
      <c r="V173" s="1069">
        <f t="shared" si="47"/>
        <v>50.071428571428569</v>
      </c>
      <c r="W173" s="1069">
        <f t="shared" si="48"/>
        <v>0</v>
      </c>
      <c r="X173" s="1378">
        <f t="shared" si="49"/>
        <v>50.071428571428569</v>
      </c>
      <c r="Y173" s="1380">
        <f t="shared" si="39"/>
        <v>81.199999999999989</v>
      </c>
      <c r="Z173" s="1380"/>
      <c r="AA173" s="1380">
        <f t="shared" si="38"/>
        <v>4065.7999999999993</v>
      </c>
    </row>
    <row r="174" spans="2:27" hidden="1">
      <c r="B174" s="1375">
        <v>179</v>
      </c>
      <c r="C174" s="1376">
        <v>45291</v>
      </c>
      <c r="D174" s="1069"/>
      <c r="E174" s="1069"/>
      <c r="F174" s="1377"/>
      <c r="G174" s="1377"/>
      <c r="H174" s="1377"/>
      <c r="I174" s="1377"/>
      <c r="J174" s="1377">
        <v>70.06</v>
      </c>
      <c r="K174" s="1377"/>
      <c r="L174" s="1378">
        <f t="shared" si="40"/>
        <v>70.06</v>
      </c>
      <c r="M174" s="1380">
        <v>58</v>
      </c>
      <c r="N174" s="1380"/>
      <c r="O174" s="1380">
        <f t="shared" si="37"/>
        <v>4063.48</v>
      </c>
      <c r="P174" s="1069">
        <f t="shared" si="41"/>
        <v>0</v>
      </c>
      <c r="Q174" s="1069">
        <f t="shared" si="42"/>
        <v>0</v>
      </c>
      <c r="R174" s="1069">
        <f t="shared" si="43"/>
        <v>0</v>
      </c>
      <c r="S174" s="1069">
        <f t="shared" si="44"/>
        <v>0</v>
      </c>
      <c r="T174" s="1069">
        <f t="shared" si="45"/>
        <v>0</v>
      </c>
      <c r="U174" s="1069">
        <f t="shared" si="46"/>
        <v>0</v>
      </c>
      <c r="V174" s="1069">
        <f t="shared" si="47"/>
        <v>50.042857142857144</v>
      </c>
      <c r="W174" s="1069">
        <f t="shared" si="48"/>
        <v>0</v>
      </c>
      <c r="X174" s="1378">
        <f t="shared" si="49"/>
        <v>50.042857142857144</v>
      </c>
      <c r="Y174" s="1380">
        <f t="shared" si="39"/>
        <v>81.199999999999989</v>
      </c>
      <c r="Z174" s="1380"/>
      <c r="AA174" s="1380">
        <f t="shared" si="38"/>
        <v>4063.4799999999996</v>
      </c>
    </row>
    <row r="175" spans="2:27" hidden="1">
      <c r="B175" s="1375">
        <v>180</v>
      </c>
      <c r="C175" s="1376">
        <v>45291</v>
      </c>
      <c r="D175" s="1069"/>
      <c r="E175" s="1069"/>
      <c r="F175" s="1377"/>
      <c r="G175" s="1377"/>
      <c r="H175" s="1377"/>
      <c r="I175" s="1377"/>
      <c r="J175" s="1377">
        <v>70.28</v>
      </c>
      <c r="K175" s="1377"/>
      <c r="L175" s="1378">
        <f t="shared" si="40"/>
        <v>70.28</v>
      </c>
      <c r="M175" s="1380">
        <v>58</v>
      </c>
      <c r="N175" s="1380"/>
      <c r="O175" s="1380">
        <f t="shared" si="37"/>
        <v>4076.2400000000002</v>
      </c>
      <c r="P175" s="1069">
        <f t="shared" si="41"/>
        <v>0</v>
      </c>
      <c r="Q175" s="1069">
        <f t="shared" si="42"/>
        <v>0</v>
      </c>
      <c r="R175" s="1069">
        <f t="shared" si="43"/>
        <v>0</v>
      </c>
      <c r="S175" s="1069">
        <f t="shared" si="44"/>
        <v>0</v>
      </c>
      <c r="T175" s="1069">
        <f t="shared" si="45"/>
        <v>0</v>
      </c>
      <c r="U175" s="1069">
        <f t="shared" si="46"/>
        <v>0</v>
      </c>
      <c r="V175" s="1069">
        <f t="shared" si="47"/>
        <v>50.2</v>
      </c>
      <c r="W175" s="1069">
        <f t="shared" si="48"/>
        <v>0</v>
      </c>
      <c r="X175" s="1378">
        <f t="shared" si="49"/>
        <v>50.2</v>
      </c>
      <c r="Y175" s="1380">
        <f t="shared" si="39"/>
        <v>81.199999999999989</v>
      </c>
      <c r="Z175" s="1380"/>
      <c r="AA175" s="1380">
        <f t="shared" si="38"/>
        <v>4076.24</v>
      </c>
    </row>
    <row r="176" spans="2:27" hidden="1">
      <c r="B176" s="1375">
        <v>181</v>
      </c>
      <c r="C176" s="1376">
        <v>45291</v>
      </c>
      <c r="D176" s="1069"/>
      <c r="E176" s="1069"/>
      <c r="F176" s="1377"/>
      <c r="G176" s="1377"/>
      <c r="H176" s="1377"/>
      <c r="I176" s="1377"/>
      <c r="J176" s="1377">
        <v>69.52</v>
      </c>
      <c r="K176" s="1377"/>
      <c r="L176" s="1378">
        <f t="shared" si="40"/>
        <v>69.52</v>
      </c>
      <c r="M176" s="1380">
        <v>58</v>
      </c>
      <c r="N176" s="1380"/>
      <c r="O176" s="1380">
        <f t="shared" si="37"/>
        <v>4032.16</v>
      </c>
      <c r="P176" s="1069">
        <f t="shared" si="41"/>
        <v>0</v>
      </c>
      <c r="Q176" s="1069">
        <f t="shared" si="42"/>
        <v>0</v>
      </c>
      <c r="R176" s="1069">
        <f t="shared" si="43"/>
        <v>0</v>
      </c>
      <c r="S176" s="1069">
        <f t="shared" si="44"/>
        <v>0</v>
      </c>
      <c r="T176" s="1069">
        <f t="shared" si="45"/>
        <v>0</v>
      </c>
      <c r="U176" s="1069">
        <f t="shared" si="46"/>
        <v>0</v>
      </c>
      <c r="V176" s="1069">
        <f t="shared" si="47"/>
        <v>49.657142857142858</v>
      </c>
      <c r="W176" s="1069">
        <f t="shared" si="48"/>
        <v>0</v>
      </c>
      <c r="X176" s="1378">
        <f t="shared" si="49"/>
        <v>49.657142857142858</v>
      </c>
      <c r="Y176" s="1380">
        <f t="shared" si="39"/>
        <v>81.199999999999989</v>
      </c>
      <c r="Z176" s="1380"/>
      <c r="AA176" s="1380">
        <f t="shared" si="38"/>
        <v>4032.1599999999994</v>
      </c>
    </row>
    <row r="177" spans="2:27" hidden="1">
      <c r="B177" s="1375">
        <v>182</v>
      </c>
      <c r="C177" s="1376">
        <v>45291</v>
      </c>
      <c r="D177" s="1069"/>
      <c r="E177" s="1069"/>
      <c r="F177" s="1377"/>
      <c r="G177" s="1377"/>
      <c r="H177" s="1377"/>
      <c r="I177" s="1377"/>
      <c r="J177" s="1377">
        <v>70.319999999999993</v>
      </c>
      <c r="K177" s="1377"/>
      <c r="L177" s="1378">
        <f t="shared" si="40"/>
        <v>70.319999999999993</v>
      </c>
      <c r="M177" s="1380">
        <v>58</v>
      </c>
      <c r="N177" s="1380"/>
      <c r="O177" s="1380">
        <f t="shared" si="37"/>
        <v>4078.5599999999995</v>
      </c>
      <c r="P177" s="1069">
        <f t="shared" si="41"/>
        <v>0</v>
      </c>
      <c r="Q177" s="1069">
        <f t="shared" si="42"/>
        <v>0</v>
      </c>
      <c r="R177" s="1069">
        <f t="shared" si="43"/>
        <v>0</v>
      </c>
      <c r="S177" s="1069">
        <f t="shared" si="44"/>
        <v>0</v>
      </c>
      <c r="T177" s="1069">
        <f t="shared" si="45"/>
        <v>0</v>
      </c>
      <c r="U177" s="1069">
        <f t="shared" si="46"/>
        <v>0</v>
      </c>
      <c r="V177" s="1069">
        <f t="shared" si="47"/>
        <v>50.228571428571428</v>
      </c>
      <c r="W177" s="1069">
        <f t="shared" si="48"/>
        <v>0</v>
      </c>
      <c r="X177" s="1378">
        <f t="shared" si="49"/>
        <v>50.228571428571428</v>
      </c>
      <c r="Y177" s="1380">
        <f t="shared" si="39"/>
        <v>81.199999999999989</v>
      </c>
      <c r="Z177" s="1380"/>
      <c r="AA177" s="1380">
        <f t="shared" si="38"/>
        <v>4078.5599999999995</v>
      </c>
    </row>
    <row r="178" spans="2:27" hidden="1">
      <c r="B178" s="1375">
        <v>183</v>
      </c>
      <c r="C178" s="1376">
        <v>45291</v>
      </c>
      <c r="D178" s="1069"/>
      <c r="E178" s="1069"/>
      <c r="F178" s="1377"/>
      <c r="G178" s="1377"/>
      <c r="H178" s="1377"/>
      <c r="I178" s="1377"/>
      <c r="J178" s="1377">
        <v>67.2</v>
      </c>
      <c r="K178" s="1377"/>
      <c r="L178" s="1378">
        <f t="shared" si="40"/>
        <v>67.2</v>
      </c>
      <c r="M178" s="1380">
        <v>58</v>
      </c>
      <c r="N178" s="1380"/>
      <c r="O178" s="1380">
        <f t="shared" si="37"/>
        <v>3897.6000000000004</v>
      </c>
      <c r="P178" s="1069">
        <f t="shared" si="41"/>
        <v>0</v>
      </c>
      <c r="Q178" s="1069">
        <f t="shared" si="42"/>
        <v>0</v>
      </c>
      <c r="R178" s="1069">
        <f t="shared" si="43"/>
        <v>0</v>
      </c>
      <c r="S178" s="1069">
        <f t="shared" si="44"/>
        <v>0</v>
      </c>
      <c r="T178" s="1069">
        <f t="shared" si="45"/>
        <v>0</v>
      </c>
      <c r="U178" s="1069">
        <f t="shared" si="46"/>
        <v>0</v>
      </c>
      <c r="V178" s="1069">
        <f t="shared" si="47"/>
        <v>48.000000000000007</v>
      </c>
      <c r="W178" s="1069">
        <f t="shared" si="48"/>
        <v>0</v>
      </c>
      <c r="X178" s="1378">
        <f t="shared" si="49"/>
        <v>48.000000000000007</v>
      </c>
      <c r="Y178" s="1380">
        <f t="shared" si="39"/>
        <v>81.199999999999989</v>
      </c>
      <c r="Z178" s="1380"/>
      <c r="AA178" s="1380">
        <f t="shared" si="38"/>
        <v>3897.6</v>
      </c>
    </row>
    <row r="179" spans="2:27" hidden="1">
      <c r="B179" s="1375">
        <v>184</v>
      </c>
      <c r="C179" s="1376">
        <v>45291</v>
      </c>
      <c r="D179" s="1069"/>
      <c r="E179" s="1069"/>
      <c r="F179" s="1377"/>
      <c r="G179" s="1377"/>
      <c r="H179" s="1377"/>
      <c r="I179" s="1377"/>
      <c r="J179" s="1377">
        <v>67.38</v>
      </c>
      <c r="K179" s="1377"/>
      <c r="L179" s="1378">
        <f t="shared" si="40"/>
        <v>67.38</v>
      </c>
      <c r="M179" s="1380">
        <v>58</v>
      </c>
      <c r="N179" s="1380"/>
      <c r="O179" s="1380">
        <f t="shared" si="37"/>
        <v>3908.04</v>
      </c>
      <c r="P179" s="1069">
        <f t="shared" si="41"/>
        <v>0</v>
      </c>
      <c r="Q179" s="1069">
        <f t="shared" si="42"/>
        <v>0</v>
      </c>
      <c r="R179" s="1069">
        <f t="shared" si="43"/>
        <v>0</v>
      </c>
      <c r="S179" s="1069">
        <f t="shared" si="44"/>
        <v>0</v>
      </c>
      <c r="T179" s="1069">
        <f t="shared" si="45"/>
        <v>0</v>
      </c>
      <c r="U179" s="1069">
        <f t="shared" si="46"/>
        <v>0</v>
      </c>
      <c r="V179" s="1069">
        <f t="shared" si="47"/>
        <v>48.128571428571426</v>
      </c>
      <c r="W179" s="1069">
        <f t="shared" si="48"/>
        <v>0</v>
      </c>
      <c r="X179" s="1378">
        <f t="shared" si="49"/>
        <v>48.128571428571426</v>
      </c>
      <c r="Y179" s="1380">
        <f t="shared" si="39"/>
        <v>81.199999999999989</v>
      </c>
      <c r="Z179" s="1380"/>
      <c r="AA179" s="1380">
        <f t="shared" si="38"/>
        <v>3908.0399999999991</v>
      </c>
    </row>
    <row r="180" spans="2:27" hidden="1">
      <c r="B180" s="1375">
        <v>185</v>
      </c>
      <c r="C180" s="1376">
        <v>45291</v>
      </c>
      <c r="D180" s="1069"/>
      <c r="E180" s="1069"/>
      <c r="F180" s="1377"/>
      <c r="G180" s="1377"/>
      <c r="H180" s="1377"/>
      <c r="I180" s="1377"/>
      <c r="J180" s="1377">
        <v>70</v>
      </c>
      <c r="K180" s="1377"/>
      <c r="L180" s="1378">
        <f t="shared" si="40"/>
        <v>70</v>
      </c>
      <c r="M180" s="1380">
        <v>58</v>
      </c>
      <c r="N180" s="1380"/>
      <c r="O180" s="1380">
        <f t="shared" si="37"/>
        <v>4060</v>
      </c>
      <c r="P180" s="1069">
        <f t="shared" si="41"/>
        <v>0</v>
      </c>
      <c r="Q180" s="1069">
        <f t="shared" si="42"/>
        <v>0</v>
      </c>
      <c r="R180" s="1069">
        <f t="shared" si="43"/>
        <v>0</v>
      </c>
      <c r="S180" s="1069">
        <f t="shared" si="44"/>
        <v>0</v>
      </c>
      <c r="T180" s="1069">
        <f t="shared" si="45"/>
        <v>0</v>
      </c>
      <c r="U180" s="1069">
        <f t="shared" si="46"/>
        <v>0</v>
      </c>
      <c r="V180" s="1069">
        <f t="shared" si="47"/>
        <v>50</v>
      </c>
      <c r="W180" s="1069">
        <f t="shared" si="48"/>
        <v>0</v>
      </c>
      <c r="X180" s="1378">
        <f t="shared" si="49"/>
        <v>50</v>
      </c>
      <c r="Y180" s="1380">
        <f t="shared" si="39"/>
        <v>81.199999999999989</v>
      </c>
      <c r="Z180" s="1380"/>
      <c r="AA180" s="1380">
        <f t="shared" si="38"/>
        <v>4059.9999999999995</v>
      </c>
    </row>
    <row r="181" spans="2:27" hidden="1">
      <c r="B181" s="1375">
        <v>186</v>
      </c>
      <c r="C181" s="1376">
        <v>45291</v>
      </c>
      <c r="D181" s="1069"/>
      <c r="E181" s="1069"/>
      <c r="F181" s="1377"/>
      <c r="G181" s="1377"/>
      <c r="H181" s="1377"/>
      <c r="I181" s="1377"/>
      <c r="J181" s="1377">
        <v>69.459999999999994</v>
      </c>
      <c r="K181" s="1377"/>
      <c r="L181" s="1378">
        <f t="shared" si="40"/>
        <v>69.459999999999994</v>
      </c>
      <c r="M181" s="1380">
        <v>58</v>
      </c>
      <c r="N181" s="1380"/>
      <c r="O181" s="1380">
        <f t="shared" si="37"/>
        <v>4028.68</v>
      </c>
      <c r="P181" s="1069">
        <f t="shared" si="41"/>
        <v>0</v>
      </c>
      <c r="Q181" s="1069">
        <f t="shared" si="42"/>
        <v>0</v>
      </c>
      <c r="R181" s="1069">
        <f t="shared" si="43"/>
        <v>0</v>
      </c>
      <c r="S181" s="1069">
        <f t="shared" si="44"/>
        <v>0</v>
      </c>
      <c r="T181" s="1069">
        <f t="shared" si="45"/>
        <v>0</v>
      </c>
      <c r="U181" s="1069">
        <f t="shared" si="46"/>
        <v>0</v>
      </c>
      <c r="V181" s="1069">
        <f t="shared" si="47"/>
        <v>49.614285714285714</v>
      </c>
      <c r="W181" s="1069">
        <f t="shared" si="48"/>
        <v>0</v>
      </c>
      <c r="X181" s="1378">
        <f t="shared" si="49"/>
        <v>49.614285714285714</v>
      </c>
      <c r="Y181" s="1380">
        <f t="shared" si="39"/>
        <v>81.199999999999989</v>
      </c>
      <c r="Z181" s="1380"/>
      <c r="AA181" s="1380">
        <f t="shared" si="38"/>
        <v>4028.6799999999994</v>
      </c>
    </row>
    <row r="182" spans="2:27" hidden="1">
      <c r="B182" s="1375">
        <v>187</v>
      </c>
      <c r="C182" s="1376">
        <v>45291</v>
      </c>
      <c r="D182" s="1069"/>
      <c r="E182" s="1069"/>
      <c r="F182" s="1377"/>
      <c r="G182" s="1377"/>
      <c r="H182" s="1377"/>
      <c r="I182" s="1377"/>
      <c r="J182" s="1377">
        <v>73.34</v>
      </c>
      <c r="K182" s="1377"/>
      <c r="L182" s="1378">
        <f t="shared" si="40"/>
        <v>73.34</v>
      </c>
      <c r="M182" s="1380">
        <v>58</v>
      </c>
      <c r="N182" s="1380"/>
      <c r="O182" s="1380">
        <f t="shared" si="37"/>
        <v>4253.72</v>
      </c>
      <c r="P182" s="1069">
        <f t="shared" si="41"/>
        <v>0</v>
      </c>
      <c r="Q182" s="1069">
        <f t="shared" si="42"/>
        <v>0</v>
      </c>
      <c r="R182" s="1069">
        <f t="shared" si="43"/>
        <v>0</v>
      </c>
      <c r="S182" s="1069">
        <f t="shared" si="44"/>
        <v>0</v>
      </c>
      <c r="T182" s="1069">
        <f t="shared" si="45"/>
        <v>0</v>
      </c>
      <c r="U182" s="1069">
        <f t="shared" si="46"/>
        <v>0</v>
      </c>
      <c r="V182" s="1069">
        <f t="shared" si="47"/>
        <v>52.385714285714293</v>
      </c>
      <c r="W182" s="1069">
        <f t="shared" si="48"/>
        <v>0</v>
      </c>
      <c r="X182" s="1378">
        <f t="shared" si="49"/>
        <v>52.385714285714293</v>
      </c>
      <c r="Y182" s="1380">
        <f t="shared" si="39"/>
        <v>81.199999999999989</v>
      </c>
      <c r="Z182" s="1380"/>
      <c r="AA182" s="1380">
        <f t="shared" si="38"/>
        <v>4253.72</v>
      </c>
    </row>
    <row r="183" spans="2:27" hidden="1">
      <c r="B183" s="1375">
        <v>188</v>
      </c>
      <c r="C183" s="1376">
        <v>45291</v>
      </c>
      <c r="D183" s="1069"/>
      <c r="E183" s="1069"/>
      <c r="F183" s="1377"/>
      <c r="G183" s="1377"/>
      <c r="H183" s="1377"/>
      <c r="I183" s="1377"/>
      <c r="J183" s="1377">
        <v>71.66</v>
      </c>
      <c r="K183" s="1377"/>
      <c r="L183" s="1378">
        <f t="shared" si="40"/>
        <v>71.66</v>
      </c>
      <c r="M183" s="1380">
        <v>58</v>
      </c>
      <c r="N183" s="1380"/>
      <c r="O183" s="1380">
        <f t="shared" si="37"/>
        <v>4156.28</v>
      </c>
      <c r="P183" s="1069">
        <f t="shared" si="41"/>
        <v>0</v>
      </c>
      <c r="Q183" s="1069">
        <f t="shared" si="42"/>
        <v>0</v>
      </c>
      <c r="R183" s="1069">
        <f t="shared" si="43"/>
        <v>0</v>
      </c>
      <c r="S183" s="1069">
        <f t="shared" si="44"/>
        <v>0</v>
      </c>
      <c r="T183" s="1069">
        <f t="shared" si="45"/>
        <v>0</v>
      </c>
      <c r="U183" s="1069">
        <f t="shared" si="46"/>
        <v>0</v>
      </c>
      <c r="V183" s="1069">
        <f t="shared" si="47"/>
        <v>51.185714285714283</v>
      </c>
      <c r="W183" s="1069">
        <f t="shared" si="48"/>
        <v>0</v>
      </c>
      <c r="X183" s="1378">
        <f t="shared" si="49"/>
        <v>51.185714285714283</v>
      </c>
      <c r="Y183" s="1380">
        <f t="shared" si="39"/>
        <v>81.199999999999989</v>
      </c>
      <c r="Z183" s="1380"/>
      <c r="AA183" s="1380">
        <f t="shared" si="38"/>
        <v>4156.2799999999988</v>
      </c>
    </row>
    <row r="184" spans="2:27" hidden="1">
      <c r="B184" s="1375">
        <v>189</v>
      </c>
      <c r="C184" s="1376">
        <v>45291</v>
      </c>
      <c r="D184" s="1069"/>
      <c r="E184" s="1069"/>
      <c r="F184" s="1377"/>
      <c r="G184" s="1377"/>
      <c r="H184" s="1377"/>
      <c r="I184" s="1377"/>
      <c r="J184" s="1377">
        <v>74.8</v>
      </c>
      <c r="K184" s="1377"/>
      <c r="L184" s="1378">
        <f t="shared" si="40"/>
        <v>74.8</v>
      </c>
      <c r="M184" s="1380">
        <v>58</v>
      </c>
      <c r="N184" s="1380"/>
      <c r="O184" s="1380">
        <f t="shared" si="37"/>
        <v>4338.3999999999996</v>
      </c>
      <c r="P184" s="1069">
        <f t="shared" si="41"/>
        <v>0</v>
      </c>
      <c r="Q184" s="1069">
        <f t="shared" si="42"/>
        <v>0</v>
      </c>
      <c r="R184" s="1069">
        <f t="shared" si="43"/>
        <v>0</v>
      </c>
      <c r="S184" s="1069">
        <f t="shared" si="44"/>
        <v>0</v>
      </c>
      <c r="T184" s="1069">
        <f t="shared" si="45"/>
        <v>0</v>
      </c>
      <c r="U184" s="1069">
        <f t="shared" si="46"/>
        <v>0</v>
      </c>
      <c r="V184" s="1069">
        <f t="shared" si="47"/>
        <v>53.428571428571431</v>
      </c>
      <c r="W184" s="1069">
        <f t="shared" si="48"/>
        <v>0</v>
      </c>
      <c r="X184" s="1378">
        <f t="shared" si="49"/>
        <v>53.428571428571431</v>
      </c>
      <c r="Y184" s="1380">
        <f t="shared" si="39"/>
        <v>81.199999999999989</v>
      </c>
      <c r="Z184" s="1380"/>
      <c r="AA184" s="1380">
        <f t="shared" si="38"/>
        <v>4338.3999999999996</v>
      </c>
    </row>
    <row r="185" spans="2:27" hidden="1">
      <c r="B185" s="1375">
        <v>190</v>
      </c>
      <c r="C185" s="1376">
        <v>45291</v>
      </c>
      <c r="D185" s="1069"/>
      <c r="E185" s="1069"/>
      <c r="F185" s="1377"/>
      <c r="G185" s="1377"/>
      <c r="H185" s="1377"/>
      <c r="I185" s="1377"/>
      <c r="J185" s="1377">
        <v>69.599999999999994</v>
      </c>
      <c r="K185" s="1377"/>
      <c r="L185" s="1378">
        <f t="shared" si="40"/>
        <v>69.599999999999994</v>
      </c>
      <c r="M185" s="1380">
        <v>58</v>
      </c>
      <c r="N185" s="1380"/>
      <c r="O185" s="1380">
        <f t="shared" si="37"/>
        <v>4036.7999999999997</v>
      </c>
      <c r="P185" s="1069">
        <f t="shared" si="41"/>
        <v>0</v>
      </c>
      <c r="Q185" s="1069">
        <f t="shared" si="42"/>
        <v>0</v>
      </c>
      <c r="R185" s="1069">
        <f t="shared" si="43"/>
        <v>0</v>
      </c>
      <c r="S185" s="1069">
        <f t="shared" si="44"/>
        <v>0</v>
      </c>
      <c r="T185" s="1069">
        <f t="shared" si="45"/>
        <v>0</v>
      </c>
      <c r="U185" s="1069">
        <f t="shared" si="46"/>
        <v>0</v>
      </c>
      <c r="V185" s="1069">
        <f t="shared" si="47"/>
        <v>49.714285714285715</v>
      </c>
      <c r="W185" s="1069">
        <f t="shared" si="48"/>
        <v>0</v>
      </c>
      <c r="X185" s="1378">
        <f t="shared" si="49"/>
        <v>49.714285714285715</v>
      </c>
      <c r="Y185" s="1380">
        <f t="shared" si="39"/>
        <v>81.199999999999989</v>
      </c>
      <c r="Z185" s="1380"/>
      <c r="AA185" s="1380">
        <f t="shared" si="38"/>
        <v>4036.7999999999997</v>
      </c>
    </row>
    <row r="186" spans="2:27" hidden="1">
      <c r="B186" s="1375">
        <v>191</v>
      </c>
      <c r="C186" s="1376">
        <v>45291</v>
      </c>
      <c r="D186" s="1069"/>
      <c r="E186" s="1069"/>
      <c r="F186" s="1377"/>
      <c r="G186" s="1377"/>
      <c r="H186" s="1377"/>
      <c r="I186" s="1377"/>
      <c r="J186" s="1377">
        <v>69.819999999999993</v>
      </c>
      <c r="K186" s="1377"/>
      <c r="L186" s="1378">
        <f t="shared" si="40"/>
        <v>69.819999999999993</v>
      </c>
      <c r="M186" s="1380">
        <v>58</v>
      </c>
      <c r="N186" s="1380"/>
      <c r="O186" s="1380">
        <f t="shared" si="37"/>
        <v>4049.5599999999995</v>
      </c>
      <c r="P186" s="1069">
        <f t="shared" si="41"/>
        <v>0</v>
      </c>
      <c r="Q186" s="1069">
        <f t="shared" si="42"/>
        <v>0</v>
      </c>
      <c r="R186" s="1069">
        <f t="shared" si="43"/>
        <v>0</v>
      </c>
      <c r="S186" s="1069">
        <f t="shared" si="44"/>
        <v>0</v>
      </c>
      <c r="T186" s="1069">
        <f t="shared" si="45"/>
        <v>0</v>
      </c>
      <c r="U186" s="1069">
        <f t="shared" si="46"/>
        <v>0</v>
      </c>
      <c r="V186" s="1069">
        <f t="shared" si="47"/>
        <v>49.871428571428567</v>
      </c>
      <c r="W186" s="1069">
        <f t="shared" si="48"/>
        <v>0</v>
      </c>
      <c r="X186" s="1378">
        <f t="shared" si="49"/>
        <v>49.871428571428567</v>
      </c>
      <c r="Y186" s="1380">
        <f t="shared" si="39"/>
        <v>81.199999999999989</v>
      </c>
      <c r="Z186" s="1380"/>
      <c r="AA186" s="1380">
        <f t="shared" si="38"/>
        <v>4049.559999999999</v>
      </c>
    </row>
    <row r="187" spans="2:27" hidden="1">
      <c r="B187" s="1375">
        <v>192</v>
      </c>
      <c r="C187" s="1376">
        <v>45291</v>
      </c>
      <c r="D187" s="1069"/>
      <c r="E187" s="1069"/>
      <c r="F187" s="1377"/>
      <c r="G187" s="1377"/>
      <c r="H187" s="1377"/>
      <c r="I187" s="1377"/>
      <c r="J187" s="1377">
        <v>70.62</v>
      </c>
      <c r="K187" s="1377"/>
      <c r="L187" s="1378">
        <f t="shared" si="40"/>
        <v>70.62</v>
      </c>
      <c r="M187" s="1380">
        <v>58</v>
      </c>
      <c r="N187" s="1380"/>
      <c r="O187" s="1380">
        <f t="shared" si="37"/>
        <v>4095.96</v>
      </c>
      <c r="P187" s="1069">
        <f t="shared" si="41"/>
        <v>0</v>
      </c>
      <c r="Q187" s="1069">
        <f t="shared" si="42"/>
        <v>0</v>
      </c>
      <c r="R187" s="1069">
        <f t="shared" si="43"/>
        <v>0</v>
      </c>
      <c r="S187" s="1069">
        <f t="shared" si="44"/>
        <v>0</v>
      </c>
      <c r="T187" s="1069">
        <f t="shared" si="45"/>
        <v>0</v>
      </c>
      <c r="U187" s="1069">
        <f t="shared" si="46"/>
        <v>0</v>
      </c>
      <c r="V187" s="1069">
        <f t="shared" si="47"/>
        <v>50.44285714285715</v>
      </c>
      <c r="W187" s="1069">
        <f t="shared" si="48"/>
        <v>0</v>
      </c>
      <c r="X187" s="1378">
        <f t="shared" si="49"/>
        <v>50.44285714285715</v>
      </c>
      <c r="Y187" s="1380">
        <f t="shared" si="39"/>
        <v>81.199999999999989</v>
      </c>
      <c r="Z187" s="1380"/>
      <c r="AA187" s="1380">
        <f t="shared" si="38"/>
        <v>4095.96</v>
      </c>
    </row>
    <row r="188" spans="2:27" hidden="1">
      <c r="B188" s="1375">
        <v>193</v>
      </c>
      <c r="C188" s="1376">
        <v>45291</v>
      </c>
      <c r="D188" s="1069"/>
      <c r="E188" s="1069"/>
      <c r="F188" s="1377"/>
      <c r="G188" s="1377"/>
      <c r="H188" s="1377"/>
      <c r="I188" s="1377"/>
      <c r="J188" s="1377">
        <v>69.72</v>
      </c>
      <c r="K188" s="1377"/>
      <c r="L188" s="1378">
        <f t="shared" ref="L188:L234" si="50">SUM(D188:K188)</f>
        <v>69.72</v>
      </c>
      <c r="M188" s="1380">
        <v>58</v>
      </c>
      <c r="N188" s="1380"/>
      <c r="O188" s="1380">
        <f t="shared" si="37"/>
        <v>4043.7599999999998</v>
      </c>
      <c r="P188" s="1069">
        <f t="shared" ref="P188:P233" si="51">(D188/$P$6)</f>
        <v>0</v>
      </c>
      <c r="Q188" s="1069">
        <f t="shared" ref="Q188:Q233" si="52">(E188/$P$6)</f>
        <v>0</v>
      </c>
      <c r="R188" s="1069">
        <f t="shared" ref="R188:R233" si="53">(F188/$P$6)</f>
        <v>0</v>
      </c>
      <c r="S188" s="1069">
        <f t="shared" ref="S188:S233" si="54">(G188/$P$6)</f>
        <v>0</v>
      </c>
      <c r="T188" s="1069">
        <f t="shared" ref="T188:U233" si="55">(H188/$P$6)</f>
        <v>0</v>
      </c>
      <c r="U188" s="1069">
        <f t="shared" si="55"/>
        <v>0</v>
      </c>
      <c r="V188" s="1069">
        <f t="shared" ref="V188:V233" si="56">(J188/$P$6)</f>
        <v>49.800000000000004</v>
      </c>
      <c r="W188" s="1069">
        <f t="shared" ref="W188:W233" si="57">(K188/$P$6)</f>
        <v>0</v>
      </c>
      <c r="X188" s="1378">
        <f t="shared" si="49"/>
        <v>49.800000000000004</v>
      </c>
      <c r="Y188" s="1380">
        <f t="shared" si="39"/>
        <v>81.199999999999989</v>
      </c>
      <c r="Z188" s="1380"/>
      <c r="AA188" s="1380">
        <f t="shared" si="38"/>
        <v>4043.7599999999998</v>
      </c>
    </row>
    <row r="189" spans="2:27" hidden="1">
      <c r="B189" s="1375">
        <v>194</v>
      </c>
      <c r="C189" s="1376">
        <v>45291</v>
      </c>
      <c r="D189" s="1069"/>
      <c r="E189" s="1069"/>
      <c r="F189" s="1377"/>
      <c r="G189" s="1377"/>
      <c r="H189" s="1377"/>
      <c r="I189" s="1377"/>
      <c r="J189" s="1377">
        <v>69.900000000000006</v>
      </c>
      <c r="K189" s="1377"/>
      <c r="L189" s="1378">
        <f t="shared" si="50"/>
        <v>69.900000000000006</v>
      </c>
      <c r="M189" s="1380">
        <v>58</v>
      </c>
      <c r="N189" s="1380"/>
      <c r="O189" s="1380">
        <f t="shared" ref="O189:O235" si="58">(L189*M189)</f>
        <v>4054.2000000000003</v>
      </c>
      <c r="P189" s="1069">
        <f t="shared" si="51"/>
        <v>0</v>
      </c>
      <c r="Q189" s="1069">
        <f t="shared" si="52"/>
        <v>0</v>
      </c>
      <c r="R189" s="1069">
        <f t="shared" si="53"/>
        <v>0</v>
      </c>
      <c r="S189" s="1069">
        <f t="shared" si="54"/>
        <v>0</v>
      </c>
      <c r="T189" s="1069">
        <f t="shared" si="55"/>
        <v>0</v>
      </c>
      <c r="U189" s="1069">
        <f t="shared" si="55"/>
        <v>0</v>
      </c>
      <c r="V189" s="1069">
        <f t="shared" si="56"/>
        <v>49.928571428571438</v>
      </c>
      <c r="W189" s="1069">
        <f t="shared" si="57"/>
        <v>0</v>
      </c>
      <c r="X189" s="1378">
        <f t="shared" si="49"/>
        <v>49.928571428571438</v>
      </c>
      <c r="Y189" s="1380">
        <f t="shared" si="39"/>
        <v>81.199999999999989</v>
      </c>
      <c r="Z189" s="1380"/>
      <c r="AA189" s="1380">
        <f t="shared" ref="AA189:AA233" si="59">(X189*Y189)</f>
        <v>4054.2000000000003</v>
      </c>
    </row>
    <row r="190" spans="2:27" hidden="1">
      <c r="B190" s="1375">
        <v>195</v>
      </c>
      <c r="C190" s="1376">
        <v>45291</v>
      </c>
      <c r="D190" s="1069"/>
      <c r="E190" s="1069"/>
      <c r="F190" s="1377"/>
      <c r="G190" s="1377"/>
      <c r="H190" s="1377"/>
      <c r="I190" s="1377"/>
      <c r="J190" s="1377">
        <v>75.239999999999995</v>
      </c>
      <c r="K190" s="1377"/>
      <c r="L190" s="1378">
        <f t="shared" si="50"/>
        <v>75.239999999999995</v>
      </c>
      <c r="M190" s="1380">
        <v>58</v>
      </c>
      <c r="N190" s="1380"/>
      <c r="O190" s="1380">
        <f t="shared" si="58"/>
        <v>4363.92</v>
      </c>
      <c r="P190" s="1069">
        <f t="shared" si="51"/>
        <v>0</v>
      </c>
      <c r="Q190" s="1069">
        <f t="shared" si="52"/>
        <v>0</v>
      </c>
      <c r="R190" s="1069">
        <f t="shared" si="53"/>
        <v>0</v>
      </c>
      <c r="S190" s="1069">
        <f t="shared" si="54"/>
        <v>0</v>
      </c>
      <c r="T190" s="1069">
        <f t="shared" si="55"/>
        <v>0</v>
      </c>
      <c r="U190" s="1069">
        <f t="shared" si="55"/>
        <v>0</v>
      </c>
      <c r="V190" s="1069">
        <f t="shared" si="56"/>
        <v>53.74285714285714</v>
      </c>
      <c r="W190" s="1069">
        <f t="shared" si="57"/>
        <v>0</v>
      </c>
      <c r="X190" s="1378">
        <f t="shared" si="49"/>
        <v>53.74285714285714</v>
      </c>
      <c r="Y190" s="1380">
        <f t="shared" si="39"/>
        <v>81.199999999999989</v>
      </c>
      <c r="Z190" s="1380"/>
      <c r="AA190" s="1380">
        <f t="shared" si="59"/>
        <v>4363.9199999999992</v>
      </c>
    </row>
    <row r="191" spans="2:27" hidden="1">
      <c r="B191" s="1375">
        <v>196</v>
      </c>
      <c r="C191" s="1376">
        <v>45291</v>
      </c>
      <c r="D191" s="1069"/>
      <c r="E191" s="1069"/>
      <c r="F191" s="1377"/>
      <c r="G191" s="1377"/>
      <c r="H191" s="1377"/>
      <c r="I191" s="1377"/>
      <c r="J191" s="1377">
        <v>72.760000000000005</v>
      </c>
      <c r="K191" s="1377"/>
      <c r="L191" s="1378">
        <f t="shared" si="50"/>
        <v>72.760000000000005</v>
      </c>
      <c r="M191" s="1380">
        <v>58</v>
      </c>
      <c r="N191" s="1380"/>
      <c r="O191" s="1380">
        <f t="shared" si="58"/>
        <v>4220.08</v>
      </c>
      <c r="P191" s="1069">
        <f t="shared" si="51"/>
        <v>0</v>
      </c>
      <c r="Q191" s="1069">
        <f t="shared" si="52"/>
        <v>0</v>
      </c>
      <c r="R191" s="1069">
        <f t="shared" si="53"/>
        <v>0</v>
      </c>
      <c r="S191" s="1069">
        <f t="shared" si="54"/>
        <v>0</v>
      </c>
      <c r="T191" s="1069">
        <f t="shared" si="55"/>
        <v>0</v>
      </c>
      <c r="U191" s="1069">
        <f t="shared" si="55"/>
        <v>0</v>
      </c>
      <c r="V191" s="1069">
        <f t="shared" si="56"/>
        <v>51.971428571428575</v>
      </c>
      <c r="W191" s="1069">
        <f t="shared" si="57"/>
        <v>0</v>
      </c>
      <c r="X191" s="1378">
        <f t="shared" si="49"/>
        <v>51.971428571428575</v>
      </c>
      <c r="Y191" s="1380">
        <f t="shared" si="39"/>
        <v>81.199999999999989</v>
      </c>
      <c r="Z191" s="1380"/>
      <c r="AA191" s="1380">
        <f t="shared" si="59"/>
        <v>4220.08</v>
      </c>
    </row>
    <row r="192" spans="2:27" hidden="1">
      <c r="B192" s="1375">
        <v>197</v>
      </c>
      <c r="C192" s="1376">
        <v>45291</v>
      </c>
      <c r="D192" s="1069"/>
      <c r="E192" s="1069"/>
      <c r="F192" s="1377"/>
      <c r="G192" s="1377"/>
      <c r="H192" s="1377"/>
      <c r="I192" s="1377"/>
      <c r="J192" s="1377">
        <v>73.28</v>
      </c>
      <c r="K192" s="1377"/>
      <c r="L192" s="1378">
        <f t="shared" si="50"/>
        <v>73.28</v>
      </c>
      <c r="M192" s="1380">
        <v>58</v>
      </c>
      <c r="N192" s="1380"/>
      <c r="O192" s="1380">
        <f t="shared" si="58"/>
        <v>4250.24</v>
      </c>
      <c r="P192" s="1069">
        <f t="shared" si="51"/>
        <v>0</v>
      </c>
      <c r="Q192" s="1069">
        <f t="shared" si="52"/>
        <v>0</v>
      </c>
      <c r="R192" s="1069">
        <f t="shared" si="53"/>
        <v>0</v>
      </c>
      <c r="S192" s="1069">
        <f t="shared" si="54"/>
        <v>0</v>
      </c>
      <c r="T192" s="1069">
        <f t="shared" si="55"/>
        <v>0</v>
      </c>
      <c r="U192" s="1069">
        <f t="shared" si="55"/>
        <v>0</v>
      </c>
      <c r="V192" s="1069">
        <f t="shared" si="56"/>
        <v>52.342857142857149</v>
      </c>
      <c r="W192" s="1069">
        <f t="shared" si="57"/>
        <v>0</v>
      </c>
      <c r="X192" s="1378">
        <f t="shared" si="49"/>
        <v>52.342857142857149</v>
      </c>
      <c r="Y192" s="1380">
        <f t="shared" si="39"/>
        <v>81.199999999999989</v>
      </c>
      <c r="Z192" s="1380"/>
      <c r="AA192" s="1380">
        <f t="shared" si="59"/>
        <v>4250.24</v>
      </c>
    </row>
    <row r="193" spans="2:27" hidden="1">
      <c r="B193" s="1375">
        <v>198</v>
      </c>
      <c r="C193" s="1376">
        <v>45291</v>
      </c>
      <c r="D193" s="1069"/>
      <c r="E193" s="1069"/>
      <c r="F193" s="1377"/>
      <c r="G193" s="1377"/>
      <c r="H193" s="1377"/>
      <c r="I193" s="1377"/>
      <c r="J193" s="1377">
        <v>69.819999999999993</v>
      </c>
      <c r="K193" s="1377"/>
      <c r="L193" s="1378">
        <f t="shared" si="50"/>
        <v>69.819999999999993</v>
      </c>
      <c r="M193" s="1380">
        <v>58</v>
      </c>
      <c r="N193" s="1380"/>
      <c r="O193" s="1380">
        <f t="shared" si="58"/>
        <v>4049.5599999999995</v>
      </c>
      <c r="P193" s="1069">
        <f t="shared" si="51"/>
        <v>0</v>
      </c>
      <c r="Q193" s="1069">
        <f t="shared" si="52"/>
        <v>0</v>
      </c>
      <c r="R193" s="1069">
        <f t="shared" si="53"/>
        <v>0</v>
      </c>
      <c r="S193" s="1069">
        <f t="shared" si="54"/>
        <v>0</v>
      </c>
      <c r="T193" s="1069">
        <f t="shared" si="55"/>
        <v>0</v>
      </c>
      <c r="U193" s="1069">
        <f t="shared" si="55"/>
        <v>0</v>
      </c>
      <c r="V193" s="1069">
        <f t="shared" si="56"/>
        <v>49.871428571428567</v>
      </c>
      <c r="W193" s="1069">
        <f t="shared" si="57"/>
        <v>0</v>
      </c>
      <c r="X193" s="1378">
        <f t="shared" si="49"/>
        <v>49.871428571428567</v>
      </c>
      <c r="Y193" s="1380">
        <f t="shared" si="39"/>
        <v>81.199999999999989</v>
      </c>
      <c r="Z193" s="1380"/>
      <c r="AA193" s="1380">
        <f t="shared" si="59"/>
        <v>4049.559999999999</v>
      </c>
    </row>
    <row r="194" spans="2:27" hidden="1">
      <c r="B194" s="1375">
        <v>199</v>
      </c>
      <c r="C194" s="1376">
        <v>45291</v>
      </c>
      <c r="D194" s="1069"/>
      <c r="E194" s="1069"/>
      <c r="F194" s="1377"/>
      <c r="G194" s="1377"/>
      <c r="H194" s="1377"/>
      <c r="I194" s="1377"/>
      <c r="J194" s="1377">
        <v>70.180000000000007</v>
      </c>
      <c r="K194" s="1377"/>
      <c r="L194" s="1378">
        <f t="shared" si="50"/>
        <v>70.180000000000007</v>
      </c>
      <c r="M194" s="1380">
        <v>58</v>
      </c>
      <c r="N194" s="1380"/>
      <c r="O194" s="1380">
        <f t="shared" si="58"/>
        <v>4070.4400000000005</v>
      </c>
      <c r="P194" s="1069">
        <f t="shared" si="51"/>
        <v>0</v>
      </c>
      <c r="Q194" s="1069">
        <f t="shared" si="52"/>
        <v>0</v>
      </c>
      <c r="R194" s="1069">
        <f t="shared" si="53"/>
        <v>0</v>
      </c>
      <c r="S194" s="1069">
        <f t="shared" si="54"/>
        <v>0</v>
      </c>
      <c r="T194" s="1069">
        <f t="shared" si="55"/>
        <v>0</v>
      </c>
      <c r="U194" s="1069">
        <f t="shared" si="55"/>
        <v>0</v>
      </c>
      <c r="V194" s="1069">
        <f t="shared" si="56"/>
        <v>50.128571428571433</v>
      </c>
      <c r="W194" s="1069">
        <f t="shared" si="57"/>
        <v>0</v>
      </c>
      <c r="X194" s="1378">
        <f t="shared" si="49"/>
        <v>50.128571428571433</v>
      </c>
      <c r="Y194" s="1380">
        <f t="shared" si="39"/>
        <v>81.199999999999989</v>
      </c>
      <c r="Z194" s="1380"/>
      <c r="AA194" s="1380">
        <f t="shared" si="59"/>
        <v>4070.4399999999996</v>
      </c>
    </row>
    <row r="195" spans="2:27" hidden="1">
      <c r="B195" s="1375">
        <v>200</v>
      </c>
      <c r="C195" s="1376">
        <v>45291</v>
      </c>
      <c r="D195" s="1069"/>
      <c r="E195" s="1069"/>
      <c r="F195" s="1377"/>
      <c r="G195" s="1377"/>
      <c r="H195" s="1377"/>
      <c r="I195" s="1377"/>
      <c r="J195" s="1377">
        <v>70.260000000000005</v>
      </c>
      <c r="K195" s="1377"/>
      <c r="L195" s="1378">
        <f t="shared" si="50"/>
        <v>70.260000000000005</v>
      </c>
      <c r="M195" s="1380">
        <v>58</v>
      </c>
      <c r="N195" s="1380"/>
      <c r="O195" s="1380">
        <f t="shared" si="58"/>
        <v>4075.0800000000004</v>
      </c>
      <c r="P195" s="1069">
        <f t="shared" si="51"/>
        <v>0</v>
      </c>
      <c r="Q195" s="1069">
        <f t="shared" si="52"/>
        <v>0</v>
      </c>
      <c r="R195" s="1069">
        <f t="shared" si="53"/>
        <v>0</v>
      </c>
      <c r="S195" s="1069">
        <f t="shared" si="54"/>
        <v>0</v>
      </c>
      <c r="T195" s="1069">
        <f t="shared" si="55"/>
        <v>0</v>
      </c>
      <c r="U195" s="1069">
        <f t="shared" si="55"/>
        <v>0</v>
      </c>
      <c r="V195" s="1069">
        <f t="shared" si="56"/>
        <v>50.18571428571429</v>
      </c>
      <c r="W195" s="1069">
        <f t="shared" si="57"/>
        <v>0</v>
      </c>
      <c r="X195" s="1378">
        <f t="shared" si="49"/>
        <v>50.18571428571429</v>
      </c>
      <c r="Y195" s="1380">
        <f t="shared" si="39"/>
        <v>81.199999999999989</v>
      </c>
      <c r="Z195" s="1380"/>
      <c r="AA195" s="1380">
        <f t="shared" si="59"/>
        <v>4075.08</v>
      </c>
    </row>
    <row r="196" spans="2:27" hidden="1">
      <c r="B196" s="1375">
        <v>201</v>
      </c>
      <c r="C196" s="1376">
        <v>45291</v>
      </c>
      <c r="D196" s="1069"/>
      <c r="E196" s="1069"/>
      <c r="F196" s="1377"/>
      <c r="G196" s="1377"/>
      <c r="H196" s="1377"/>
      <c r="I196" s="1377"/>
      <c r="J196" s="1377">
        <v>71.040000000000006</v>
      </c>
      <c r="K196" s="1377"/>
      <c r="L196" s="1378">
        <f t="shared" si="50"/>
        <v>71.040000000000006</v>
      </c>
      <c r="M196" s="1380">
        <v>58</v>
      </c>
      <c r="N196" s="1380"/>
      <c r="O196" s="1380">
        <f t="shared" si="58"/>
        <v>4120.3200000000006</v>
      </c>
      <c r="P196" s="1069">
        <f t="shared" si="51"/>
        <v>0</v>
      </c>
      <c r="Q196" s="1069">
        <f t="shared" si="52"/>
        <v>0</v>
      </c>
      <c r="R196" s="1069">
        <f t="shared" si="53"/>
        <v>0</v>
      </c>
      <c r="S196" s="1069">
        <f t="shared" si="54"/>
        <v>0</v>
      </c>
      <c r="T196" s="1069">
        <f t="shared" si="55"/>
        <v>0</v>
      </c>
      <c r="U196" s="1069">
        <f t="shared" si="55"/>
        <v>0</v>
      </c>
      <c r="V196" s="1069">
        <f t="shared" si="56"/>
        <v>50.742857142857147</v>
      </c>
      <c r="W196" s="1069">
        <f t="shared" si="57"/>
        <v>0</v>
      </c>
      <c r="X196" s="1378">
        <f t="shared" si="49"/>
        <v>50.742857142857147</v>
      </c>
      <c r="Y196" s="1380">
        <f t="shared" si="39"/>
        <v>81.199999999999989</v>
      </c>
      <c r="Z196" s="1380"/>
      <c r="AA196" s="1380">
        <f t="shared" si="59"/>
        <v>4120.32</v>
      </c>
    </row>
    <row r="197" spans="2:27" hidden="1">
      <c r="B197" s="1375">
        <v>202</v>
      </c>
      <c r="C197" s="1376">
        <v>45291</v>
      </c>
      <c r="D197" s="1069"/>
      <c r="E197" s="1069"/>
      <c r="F197" s="1377"/>
      <c r="G197" s="1377"/>
      <c r="H197" s="1377"/>
      <c r="I197" s="1377"/>
      <c r="J197" s="1377">
        <v>74.64</v>
      </c>
      <c r="K197" s="1377"/>
      <c r="L197" s="1378">
        <f t="shared" si="50"/>
        <v>74.64</v>
      </c>
      <c r="M197" s="1380">
        <v>58</v>
      </c>
      <c r="N197" s="1380"/>
      <c r="O197" s="1380">
        <f t="shared" si="58"/>
        <v>4329.12</v>
      </c>
      <c r="P197" s="1069">
        <f t="shared" si="51"/>
        <v>0</v>
      </c>
      <c r="Q197" s="1069">
        <f t="shared" si="52"/>
        <v>0</v>
      </c>
      <c r="R197" s="1069">
        <f t="shared" si="53"/>
        <v>0</v>
      </c>
      <c r="S197" s="1069">
        <f t="shared" si="54"/>
        <v>0</v>
      </c>
      <c r="T197" s="1069">
        <f t="shared" si="55"/>
        <v>0</v>
      </c>
      <c r="U197" s="1069">
        <f t="shared" si="55"/>
        <v>0</v>
      </c>
      <c r="V197" s="1069">
        <f t="shared" si="56"/>
        <v>53.314285714285717</v>
      </c>
      <c r="W197" s="1069">
        <f t="shared" si="57"/>
        <v>0</v>
      </c>
      <c r="X197" s="1378">
        <f t="shared" si="49"/>
        <v>53.314285714285717</v>
      </c>
      <c r="Y197" s="1380">
        <f t="shared" si="39"/>
        <v>81.199999999999989</v>
      </c>
      <c r="Z197" s="1380"/>
      <c r="AA197" s="1380">
        <f t="shared" si="59"/>
        <v>4329.12</v>
      </c>
    </row>
    <row r="198" spans="2:27" hidden="1">
      <c r="B198" s="1375">
        <v>203</v>
      </c>
      <c r="C198" s="1376">
        <v>45291</v>
      </c>
      <c r="D198" s="1069"/>
      <c r="E198" s="1069"/>
      <c r="F198" s="1377"/>
      <c r="G198" s="1377"/>
      <c r="H198" s="1377"/>
      <c r="I198" s="1377"/>
      <c r="J198" s="1377">
        <v>71.2</v>
      </c>
      <c r="K198" s="1377"/>
      <c r="L198" s="1378">
        <f t="shared" si="50"/>
        <v>71.2</v>
      </c>
      <c r="M198" s="1380">
        <v>58</v>
      </c>
      <c r="N198" s="1380"/>
      <c r="O198" s="1380">
        <f t="shared" si="58"/>
        <v>4129.6000000000004</v>
      </c>
      <c r="P198" s="1069">
        <f t="shared" si="51"/>
        <v>0</v>
      </c>
      <c r="Q198" s="1069">
        <f t="shared" si="52"/>
        <v>0</v>
      </c>
      <c r="R198" s="1069">
        <f t="shared" si="53"/>
        <v>0</v>
      </c>
      <c r="S198" s="1069">
        <f t="shared" si="54"/>
        <v>0</v>
      </c>
      <c r="T198" s="1069">
        <f t="shared" si="55"/>
        <v>0</v>
      </c>
      <c r="U198" s="1069">
        <f t="shared" si="55"/>
        <v>0</v>
      </c>
      <c r="V198" s="1069">
        <f t="shared" si="56"/>
        <v>50.857142857142861</v>
      </c>
      <c r="W198" s="1069">
        <f t="shared" si="57"/>
        <v>0</v>
      </c>
      <c r="X198" s="1378">
        <f t="shared" si="49"/>
        <v>50.857142857142861</v>
      </c>
      <c r="Y198" s="1380">
        <f t="shared" si="39"/>
        <v>81.199999999999989</v>
      </c>
      <c r="Z198" s="1380"/>
      <c r="AA198" s="1380">
        <f t="shared" si="59"/>
        <v>4129.5999999999995</v>
      </c>
    </row>
    <row r="199" spans="2:27" hidden="1">
      <c r="B199" s="1375">
        <v>204</v>
      </c>
      <c r="C199" s="1376">
        <v>45291</v>
      </c>
      <c r="D199" s="1069"/>
      <c r="E199" s="1069"/>
      <c r="F199" s="1377"/>
      <c r="G199" s="1377"/>
      <c r="H199" s="1377"/>
      <c r="I199" s="1377"/>
      <c r="J199" s="1377">
        <v>69.760000000000005</v>
      </c>
      <c r="K199" s="1377"/>
      <c r="L199" s="1378">
        <f t="shared" si="50"/>
        <v>69.760000000000005</v>
      </c>
      <c r="M199" s="1380">
        <v>58</v>
      </c>
      <c r="N199" s="1380"/>
      <c r="O199" s="1380">
        <f t="shared" si="58"/>
        <v>4046.0800000000004</v>
      </c>
      <c r="P199" s="1069">
        <f t="shared" si="51"/>
        <v>0</v>
      </c>
      <c r="Q199" s="1069">
        <f t="shared" si="52"/>
        <v>0</v>
      </c>
      <c r="R199" s="1069">
        <f t="shared" si="53"/>
        <v>0</v>
      </c>
      <c r="S199" s="1069">
        <f t="shared" si="54"/>
        <v>0</v>
      </c>
      <c r="T199" s="1069">
        <f t="shared" si="55"/>
        <v>0</v>
      </c>
      <c r="U199" s="1069">
        <f t="shared" si="55"/>
        <v>0</v>
      </c>
      <c r="V199" s="1069">
        <f t="shared" si="56"/>
        <v>49.828571428571436</v>
      </c>
      <c r="W199" s="1069">
        <f t="shared" si="57"/>
        <v>0</v>
      </c>
      <c r="X199" s="1378">
        <f t="shared" si="49"/>
        <v>49.828571428571436</v>
      </c>
      <c r="Y199" s="1380">
        <f t="shared" si="39"/>
        <v>81.199999999999989</v>
      </c>
      <c r="Z199" s="1380"/>
      <c r="AA199" s="1380">
        <f t="shared" si="59"/>
        <v>4046.08</v>
      </c>
    </row>
    <row r="200" spans="2:27" hidden="1">
      <c r="B200" s="1375">
        <v>205</v>
      </c>
      <c r="C200" s="1376">
        <v>45291</v>
      </c>
      <c r="D200" s="1069"/>
      <c r="E200" s="1069"/>
      <c r="F200" s="1377"/>
      <c r="G200" s="1377"/>
      <c r="H200" s="1377"/>
      <c r="I200" s="1377"/>
      <c r="J200" s="1377">
        <v>72.040000000000006</v>
      </c>
      <c r="K200" s="1377"/>
      <c r="L200" s="1378">
        <f t="shared" si="50"/>
        <v>72.040000000000006</v>
      </c>
      <c r="M200" s="1380">
        <v>58</v>
      </c>
      <c r="N200" s="1380"/>
      <c r="O200" s="1380">
        <f t="shared" si="58"/>
        <v>4178.3200000000006</v>
      </c>
      <c r="P200" s="1069">
        <f t="shared" si="51"/>
        <v>0</v>
      </c>
      <c r="Q200" s="1069">
        <f t="shared" si="52"/>
        <v>0</v>
      </c>
      <c r="R200" s="1069">
        <f t="shared" si="53"/>
        <v>0</v>
      </c>
      <c r="S200" s="1069">
        <f t="shared" si="54"/>
        <v>0</v>
      </c>
      <c r="T200" s="1069">
        <f t="shared" si="55"/>
        <v>0</v>
      </c>
      <c r="U200" s="1069">
        <f t="shared" si="55"/>
        <v>0</v>
      </c>
      <c r="V200" s="1069">
        <f t="shared" si="56"/>
        <v>51.457142857142863</v>
      </c>
      <c r="W200" s="1069">
        <f t="shared" si="57"/>
        <v>0</v>
      </c>
      <c r="X200" s="1378">
        <f t="shared" si="49"/>
        <v>51.457142857142863</v>
      </c>
      <c r="Y200" s="1380">
        <f t="shared" si="39"/>
        <v>81.199999999999989</v>
      </c>
      <c r="Z200" s="1380"/>
      <c r="AA200" s="1380">
        <f t="shared" si="59"/>
        <v>4178.32</v>
      </c>
    </row>
    <row r="201" spans="2:27" hidden="1">
      <c r="B201" s="1375">
        <v>206</v>
      </c>
      <c r="C201" s="1376">
        <v>45291</v>
      </c>
      <c r="D201" s="1069"/>
      <c r="E201" s="1069"/>
      <c r="F201" s="1377"/>
      <c r="G201" s="1377"/>
      <c r="H201" s="1377"/>
      <c r="I201" s="1377"/>
      <c r="J201" s="1377">
        <v>70.239999999999995</v>
      </c>
      <c r="K201" s="1377"/>
      <c r="L201" s="1378">
        <f t="shared" si="50"/>
        <v>70.239999999999995</v>
      </c>
      <c r="M201" s="1380">
        <v>58</v>
      </c>
      <c r="N201" s="1380"/>
      <c r="O201" s="1380">
        <f t="shared" si="58"/>
        <v>4073.9199999999996</v>
      </c>
      <c r="P201" s="1069">
        <f t="shared" si="51"/>
        <v>0</v>
      </c>
      <c r="Q201" s="1069">
        <f t="shared" si="52"/>
        <v>0</v>
      </c>
      <c r="R201" s="1069">
        <f t="shared" si="53"/>
        <v>0</v>
      </c>
      <c r="S201" s="1069">
        <f t="shared" si="54"/>
        <v>0</v>
      </c>
      <c r="T201" s="1069">
        <f t="shared" si="55"/>
        <v>0</v>
      </c>
      <c r="U201" s="1069">
        <f t="shared" si="55"/>
        <v>0</v>
      </c>
      <c r="V201" s="1069">
        <f t="shared" si="56"/>
        <v>50.171428571428571</v>
      </c>
      <c r="W201" s="1069">
        <f t="shared" si="57"/>
        <v>0</v>
      </c>
      <c r="X201" s="1378">
        <f t="shared" ref="X201:X232" si="60">SUM(P201:W201)</f>
        <v>50.171428571428571</v>
      </c>
      <c r="Y201" s="1380">
        <f t="shared" si="39"/>
        <v>81.199999999999989</v>
      </c>
      <c r="Z201" s="1380"/>
      <c r="AA201" s="1380">
        <f t="shared" si="59"/>
        <v>4073.9199999999992</v>
      </c>
    </row>
    <row r="202" spans="2:27" hidden="1">
      <c r="B202" s="1375">
        <v>207</v>
      </c>
      <c r="C202" s="1376">
        <v>45291</v>
      </c>
      <c r="D202" s="1069"/>
      <c r="E202" s="1069"/>
      <c r="F202" s="1377"/>
      <c r="G202" s="1377"/>
      <c r="H202" s="1377"/>
      <c r="I202" s="1377"/>
      <c r="J202" s="1377">
        <v>73.56</v>
      </c>
      <c r="K202" s="1377"/>
      <c r="L202" s="1378">
        <f t="shared" si="50"/>
        <v>73.56</v>
      </c>
      <c r="M202" s="1380">
        <v>58</v>
      </c>
      <c r="N202" s="1380"/>
      <c r="O202" s="1380">
        <f t="shared" si="58"/>
        <v>4266.4800000000005</v>
      </c>
      <c r="P202" s="1069">
        <f t="shared" si="51"/>
        <v>0</v>
      </c>
      <c r="Q202" s="1069">
        <f t="shared" si="52"/>
        <v>0</v>
      </c>
      <c r="R202" s="1069">
        <f t="shared" si="53"/>
        <v>0</v>
      </c>
      <c r="S202" s="1069">
        <f t="shared" si="54"/>
        <v>0</v>
      </c>
      <c r="T202" s="1069">
        <f t="shared" si="55"/>
        <v>0</v>
      </c>
      <c r="U202" s="1069">
        <f t="shared" si="55"/>
        <v>0</v>
      </c>
      <c r="V202" s="1069">
        <f t="shared" si="56"/>
        <v>52.542857142857144</v>
      </c>
      <c r="W202" s="1069">
        <f t="shared" si="57"/>
        <v>0</v>
      </c>
      <c r="X202" s="1378">
        <f t="shared" si="60"/>
        <v>52.542857142857144</v>
      </c>
      <c r="Y202" s="1380">
        <f t="shared" si="39"/>
        <v>81.199999999999989</v>
      </c>
      <c r="Z202" s="1380"/>
      <c r="AA202" s="1380">
        <f t="shared" si="59"/>
        <v>4266.4799999999996</v>
      </c>
    </row>
    <row r="203" spans="2:27" hidden="1">
      <c r="B203" s="1375">
        <v>208</v>
      </c>
      <c r="C203" s="1376">
        <v>45291</v>
      </c>
      <c r="D203" s="1069"/>
      <c r="E203" s="1069"/>
      <c r="F203" s="1377"/>
      <c r="G203" s="1377"/>
      <c r="H203" s="1377"/>
      <c r="I203" s="1377"/>
      <c r="J203" s="1377">
        <v>73.44</v>
      </c>
      <c r="K203" s="1377"/>
      <c r="L203" s="1378">
        <f t="shared" si="50"/>
        <v>73.44</v>
      </c>
      <c r="M203" s="1380">
        <v>58</v>
      </c>
      <c r="N203" s="1380"/>
      <c r="O203" s="1380">
        <f t="shared" si="58"/>
        <v>4259.5199999999995</v>
      </c>
      <c r="P203" s="1069">
        <f t="shared" si="51"/>
        <v>0</v>
      </c>
      <c r="Q203" s="1069">
        <f t="shared" si="52"/>
        <v>0</v>
      </c>
      <c r="R203" s="1069">
        <f t="shared" si="53"/>
        <v>0</v>
      </c>
      <c r="S203" s="1069">
        <f t="shared" si="54"/>
        <v>0</v>
      </c>
      <c r="T203" s="1069">
        <f t="shared" si="55"/>
        <v>0</v>
      </c>
      <c r="U203" s="1069">
        <f t="shared" si="55"/>
        <v>0</v>
      </c>
      <c r="V203" s="1069">
        <f t="shared" si="56"/>
        <v>52.457142857142856</v>
      </c>
      <c r="W203" s="1069">
        <f t="shared" si="57"/>
        <v>0</v>
      </c>
      <c r="X203" s="1378">
        <f t="shared" si="60"/>
        <v>52.457142857142856</v>
      </c>
      <c r="Y203" s="1380">
        <f t="shared" si="39"/>
        <v>81.199999999999989</v>
      </c>
      <c r="Z203" s="1380"/>
      <c r="AA203" s="1380">
        <f t="shared" si="59"/>
        <v>4259.5199999999995</v>
      </c>
    </row>
    <row r="204" spans="2:27" hidden="1">
      <c r="B204" s="1375">
        <v>209</v>
      </c>
      <c r="C204" s="1376">
        <v>45291</v>
      </c>
      <c r="D204" s="1069"/>
      <c r="E204" s="1069"/>
      <c r="F204" s="1377"/>
      <c r="G204" s="1377"/>
      <c r="H204" s="1377"/>
      <c r="I204" s="1377"/>
      <c r="J204" s="1377">
        <v>70.680000000000007</v>
      </c>
      <c r="K204" s="1377"/>
      <c r="L204" s="1378">
        <f t="shared" si="50"/>
        <v>70.680000000000007</v>
      </c>
      <c r="M204" s="1380">
        <v>58</v>
      </c>
      <c r="N204" s="1380"/>
      <c r="O204" s="1380">
        <f t="shared" si="58"/>
        <v>4099.4400000000005</v>
      </c>
      <c r="P204" s="1069">
        <f t="shared" si="51"/>
        <v>0</v>
      </c>
      <c r="Q204" s="1069">
        <f t="shared" si="52"/>
        <v>0</v>
      </c>
      <c r="R204" s="1069">
        <f t="shared" si="53"/>
        <v>0</v>
      </c>
      <c r="S204" s="1069">
        <f t="shared" si="54"/>
        <v>0</v>
      </c>
      <c r="T204" s="1069">
        <f t="shared" si="55"/>
        <v>0</v>
      </c>
      <c r="U204" s="1069">
        <f t="shared" si="55"/>
        <v>0</v>
      </c>
      <c r="V204" s="1069">
        <f t="shared" si="56"/>
        <v>50.485714285714295</v>
      </c>
      <c r="W204" s="1069">
        <f t="shared" si="57"/>
        <v>0</v>
      </c>
      <c r="X204" s="1378">
        <f t="shared" si="60"/>
        <v>50.485714285714295</v>
      </c>
      <c r="Y204" s="1380">
        <f t="shared" si="39"/>
        <v>81.199999999999989</v>
      </c>
      <c r="Z204" s="1380"/>
      <c r="AA204" s="1380">
        <f t="shared" si="59"/>
        <v>4099.4400000000005</v>
      </c>
    </row>
    <row r="205" spans="2:27" hidden="1">
      <c r="B205" s="1375">
        <v>210</v>
      </c>
      <c r="C205" s="1376">
        <v>45291</v>
      </c>
      <c r="D205" s="1069"/>
      <c r="E205" s="1069"/>
      <c r="F205" s="1377"/>
      <c r="G205" s="1377"/>
      <c r="H205" s="1377"/>
      <c r="I205" s="1377"/>
      <c r="J205" s="1377">
        <v>73.64</v>
      </c>
      <c r="K205" s="1377"/>
      <c r="L205" s="1378">
        <f t="shared" si="50"/>
        <v>73.64</v>
      </c>
      <c r="M205" s="1380">
        <v>58</v>
      </c>
      <c r="N205" s="1380"/>
      <c r="O205" s="1380">
        <f t="shared" si="58"/>
        <v>4271.12</v>
      </c>
      <c r="P205" s="1069">
        <f t="shared" si="51"/>
        <v>0</v>
      </c>
      <c r="Q205" s="1069">
        <f t="shared" si="52"/>
        <v>0</v>
      </c>
      <c r="R205" s="1069">
        <f t="shared" si="53"/>
        <v>0</v>
      </c>
      <c r="S205" s="1069">
        <f t="shared" si="54"/>
        <v>0</v>
      </c>
      <c r="T205" s="1069">
        <f t="shared" si="55"/>
        <v>0</v>
      </c>
      <c r="U205" s="1069">
        <f t="shared" si="55"/>
        <v>0</v>
      </c>
      <c r="V205" s="1069">
        <f t="shared" si="56"/>
        <v>52.6</v>
      </c>
      <c r="W205" s="1069">
        <f t="shared" si="57"/>
        <v>0</v>
      </c>
      <c r="X205" s="1378">
        <f t="shared" si="60"/>
        <v>52.6</v>
      </c>
      <c r="Y205" s="1380">
        <f t="shared" ref="Y205:Y219" si="61">(M205*$P$6)</f>
        <v>81.199999999999989</v>
      </c>
      <c r="Z205" s="1380"/>
      <c r="AA205" s="1380">
        <f t="shared" si="59"/>
        <v>4271.12</v>
      </c>
    </row>
    <row r="206" spans="2:27" hidden="1">
      <c r="B206" s="1375">
        <v>211</v>
      </c>
      <c r="C206" s="1376">
        <v>45291</v>
      </c>
      <c r="D206" s="1069"/>
      <c r="E206" s="1069"/>
      <c r="F206" s="1377"/>
      <c r="G206" s="1377"/>
      <c r="H206" s="1377"/>
      <c r="I206" s="1377"/>
      <c r="J206" s="1377">
        <v>72</v>
      </c>
      <c r="K206" s="1377"/>
      <c r="L206" s="1378">
        <f t="shared" si="50"/>
        <v>72</v>
      </c>
      <c r="M206" s="1380">
        <v>58</v>
      </c>
      <c r="N206" s="1380"/>
      <c r="O206" s="1380">
        <f t="shared" si="58"/>
        <v>4176</v>
      </c>
      <c r="P206" s="1069">
        <f t="shared" si="51"/>
        <v>0</v>
      </c>
      <c r="Q206" s="1069">
        <f t="shared" si="52"/>
        <v>0</v>
      </c>
      <c r="R206" s="1069">
        <f t="shared" si="53"/>
        <v>0</v>
      </c>
      <c r="S206" s="1069">
        <f t="shared" si="54"/>
        <v>0</v>
      </c>
      <c r="T206" s="1069">
        <f t="shared" si="55"/>
        <v>0</v>
      </c>
      <c r="U206" s="1069">
        <f t="shared" si="55"/>
        <v>0</v>
      </c>
      <c r="V206" s="1069">
        <f t="shared" si="56"/>
        <v>51.428571428571431</v>
      </c>
      <c r="W206" s="1069">
        <f t="shared" si="57"/>
        <v>0</v>
      </c>
      <c r="X206" s="1378">
        <f t="shared" si="60"/>
        <v>51.428571428571431</v>
      </c>
      <c r="Y206" s="1380">
        <f t="shared" si="61"/>
        <v>81.199999999999989</v>
      </c>
      <c r="Z206" s="1380"/>
      <c r="AA206" s="1380">
        <f t="shared" si="59"/>
        <v>4176</v>
      </c>
    </row>
    <row r="207" spans="2:27" hidden="1">
      <c r="B207" s="1375">
        <v>212</v>
      </c>
      <c r="C207" s="1376">
        <v>45291</v>
      </c>
      <c r="D207" s="1069"/>
      <c r="E207" s="1069"/>
      <c r="F207" s="1377"/>
      <c r="G207" s="1377"/>
      <c r="H207" s="1377"/>
      <c r="I207" s="1377"/>
      <c r="J207" s="1377">
        <v>69.459999999999994</v>
      </c>
      <c r="K207" s="1377"/>
      <c r="L207" s="1378">
        <f t="shared" si="50"/>
        <v>69.459999999999994</v>
      </c>
      <c r="M207" s="1380">
        <v>58</v>
      </c>
      <c r="N207" s="1380"/>
      <c r="O207" s="1380">
        <f t="shared" si="58"/>
        <v>4028.68</v>
      </c>
      <c r="P207" s="1069">
        <f t="shared" si="51"/>
        <v>0</v>
      </c>
      <c r="Q207" s="1069">
        <f t="shared" si="52"/>
        <v>0</v>
      </c>
      <c r="R207" s="1069">
        <f t="shared" si="53"/>
        <v>0</v>
      </c>
      <c r="S207" s="1069">
        <f t="shared" si="54"/>
        <v>0</v>
      </c>
      <c r="T207" s="1069">
        <f t="shared" si="55"/>
        <v>0</v>
      </c>
      <c r="U207" s="1069">
        <f t="shared" si="55"/>
        <v>0</v>
      </c>
      <c r="V207" s="1069">
        <f t="shared" si="56"/>
        <v>49.614285714285714</v>
      </c>
      <c r="W207" s="1069">
        <f t="shared" si="57"/>
        <v>0</v>
      </c>
      <c r="X207" s="1378">
        <f t="shared" si="60"/>
        <v>49.614285714285714</v>
      </c>
      <c r="Y207" s="1380">
        <f t="shared" si="61"/>
        <v>81.199999999999989</v>
      </c>
      <c r="Z207" s="1380"/>
      <c r="AA207" s="1380">
        <f t="shared" si="59"/>
        <v>4028.6799999999994</v>
      </c>
    </row>
    <row r="208" spans="2:27" hidden="1">
      <c r="B208" s="1375">
        <v>213</v>
      </c>
      <c r="C208" s="1376">
        <v>45291</v>
      </c>
      <c r="D208" s="1069"/>
      <c r="E208" s="1069"/>
      <c r="F208" s="1377"/>
      <c r="G208" s="1377"/>
      <c r="H208" s="1377"/>
      <c r="I208" s="1377"/>
      <c r="J208" s="1377">
        <v>72.040000000000006</v>
      </c>
      <c r="K208" s="1377"/>
      <c r="L208" s="1378">
        <f t="shared" si="50"/>
        <v>72.040000000000006</v>
      </c>
      <c r="M208" s="1380">
        <v>58</v>
      </c>
      <c r="N208" s="1380"/>
      <c r="O208" s="1380">
        <f t="shared" si="58"/>
        <v>4178.3200000000006</v>
      </c>
      <c r="P208" s="1069">
        <f t="shared" si="51"/>
        <v>0</v>
      </c>
      <c r="Q208" s="1069">
        <f t="shared" si="52"/>
        <v>0</v>
      </c>
      <c r="R208" s="1069">
        <f t="shared" si="53"/>
        <v>0</v>
      </c>
      <c r="S208" s="1069">
        <f t="shared" si="54"/>
        <v>0</v>
      </c>
      <c r="T208" s="1069">
        <f t="shared" si="55"/>
        <v>0</v>
      </c>
      <c r="U208" s="1069">
        <f t="shared" si="55"/>
        <v>0</v>
      </c>
      <c r="V208" s="1069">
        <f t="shared" si="56"/>
        <v>51.457142857142863</v>
      </c>
      <c r="W208" s="1069">
        <f t="shared" si="57"/>
        <v>0</v>
      </c>
      <c r="X208" s="1378">
        <f t="shared" si="60"/>
        <v>51.457142857142863</v>
      </c>
      <c r="Y208" s="1380">
        <f t="shared" si="61"/>
        <v>81.199999999999989</v>
      </c>
      <c r="Z208" s="1380"/>
      <c r="AA208" s="1380">
        <f t="shared" si="59"/>
        <v>4178.32</v>
      </c>
    </row>
    <row r="209" spans="2:27" hidden="1">
      <c r="B209" s="1375">
        <v>214</v>
      </c>
      <c r="C209" s="1376">
        <v>45291</v>
      </c>
      <c r="D209" s="1069"/>
      <c r="E209" s="1069"/>
      <c r="F209" s="1377"/>
      <c r="G209" s="1377"/>
      <c r="H209" s="1377"/>
      <c r="I209" s="1377"/>
      <c r="J209" s="1377">
        <v>69.72</v>
      </c>
      <c r="K209" s="1377"/>
      <c r="L209" s="1378">
        <f t="shared" si="50"/>
        <v>69.72</v>
      </c>
      <c r="M209" s="1380">
        <v>58</v>
      </c>
      <c r="N209" s="1380"/>
      <c r="O209" s="1380">
        <f t="shared" si="58"/>
        <v>4043.7599999999998</v>
      </c>
      <c r="P209" s="1069">
        <f t="shared" si="51"/>
        <v>0</v>
      </c>
      <c r="Q209" s="1069">
        <f t="shared" si="52"/>
        <v>0</v>
      </c>
      <c r="R209" s="1069">
        <f t="shared" si="53"/>
        <v>0</v>
      </c>
      <c r="S209" s="1069">
        <f t="shared" si="54"/>
        <v>0</v>
      </c>
      <c r="T209" s="1069">
        <f t="shared" si="55"/>
        <v>0</v>
      </c>
      <c r="U209" s="1069">
        <f t="shared" si="55"/>
        <v>0</v>
      </c>
      <c r="V209" s="1069">
        <f t="shared" si="56"/>
        <v>49.800000000000004</v>
      </c>
      <c r="W209" s="1069">
        <f t="shared" si="57"/>
        <v>0</v>
      </c>
      <c r="X209" s="1378">
        <f t="shared" si="60"/>
        <v>49.800000000000004</v>
      </c>
      <c r="Y209" s="1380">
        <f t="shared" si="61"/>
        <v>81.199999999999989</v>
      </c>
      <c r="Z209" s="1380"/>
      <c r="AA209" s="1380">
        <f t="shared" si="59"/>
        <v>4043.7599999999998</v>
      </c>
    </row>
    <row r="210" spans="2:27" hidden="1">
      <c r="B210" s="1375">
        <v>215</v>
      </c>
      <c r="C210" s="1376">
        <v>45291</v>
      </c>
      <c r="D210" s="1069"/>
      <c r="E210" s="1069"/>
      <c r="F210" s="1377"/>
      <c r="G210" s="1377"/>
      <c r="H210" s="1377"/>
      <c r="I210" s="1377"/>
      <c r="J210" s="1377"/>
      <c r="K210" s="1377">
        <v>70.66</v>
      </c>
      <c r="L210" s="1378">
        <f t="shared" si="50"/>
        <v>70.66</v>
      </c>
      <c r="M210" s="1380">
        <v>58</v>
      </c>
      <c r="N210" s="1380"/>
      <c r="O210" s="1380">
        <f t="shared" si="58"/>
        <v>4098.28</v>
      </c>
      <c r="P210" s="1069">
        <f t="shared" si="51"/>
        <v>0</v>
      </c>
      <c r="Q210" s="1069">
        <f t="shared" si="52"/>
        <v>0</v>
      </c>
      <c r="R210" s="1069">
        <f t="shared" si="53"/>
        <v>0</v>
      </c>
      <c r="S210" s="1069">
        <f t="shared" si="54"/>
        <v>0</v>
      </c>
      <c r="T210" s="1069">
        <f t="shared" si="55"/>
        <v>0</v>
      </c>
      <c r="U210" s="1069">
        <f t="shared" si="55"/>
        <v>0</v>
      </c>
      <c r="V210" s="1069">
        <f t="shared" si="56"/>
        <v>0</v>
      </c>
      <c r="W210" s="1069">
        <f t="shared" si="57"/>
        <v>50.471428571428575</v>
      </c>
      <c r="X210" s="1378">
        <f t="shared" si="60"/>
        <v>50.471428571428575</v>
      </c>
      <c r="Y210" s="1380">
        <f t="shared" si="61"/>
        <v>81.199999999999989</v>
      </c>
      <c r="Z210" s="1380"/>
      <c r="AA210" s="1380">
        <f t="shared" si="59"/>
        <v>4098.28</v>
      </c>
    </row>
    <row r="211" spans="2:27" hidden="1">
      <c r="B211" s="1375">
        <v>216</v>
      </c>
      <c r="C211" s="1376">
        <v>45291</v>
      </c>
      <c r="D211" s="1069"/>
      <c r="E211" s="1069"/>
      <c r="F211" s="1377"/>
      <c r="G211" s="1377"/>
      <c r="H211" s="1377"/>
      <c r="I211" s="1377"/>
      <c r="J211" s="1377"/>
      <c r="K211" s="1377">
        <v>68.86</v>
      </c>
      <c r="L211" s="1378">
        <f t="shared" si="50"/>
        <v>68.86</v>
      </c>
      <c r="M211" s="1380">
        <v>58</v>
      </c>
      <c r="N211" s="1380"/>
      <c r="O211" s="1380">
        <f t="shared" si="58"/>
        <v>3993.88</v>
      </c>
      <c r="P211" s="1069">
        <f t="shared" si="51"/>
        <v>0</v>
      </c>
      <c r="Q211" s="1069">
        <f t="shared" si="52"/>
        <v>0</v>
      </c>
      <c r="R211" s="1069">
        <f t="shared" si="53"/>
        <v>0</v>
      </c>
      <c r="S211" s="1069">
        <f t="shared" si="54"/>
        <v>0</v>
      </c>
      <c r="T211" s="1069">
        <f t="shared" si="55"/>
        <v>0</v>
      </c>
      <c r="U211" s="1069">
        <f t="shared" si="55"/>
        <v>0</v>
      </c>
      <c r="V211" s="1069">
        <f t="shared" si="56"/>
        <v>0</v>
      </c>
      <c r="W211" s="1069">
        <f t="shared" si="57"/>
        <v>49.18571428571429</v>
      </c>
      <c r="X211" s="1378">
        <f t="shared" si="60"/>
        <v>49.18571428571429</v>
      </c>
      <c r="Y211" s="1380">
        <f t="shared" si="61"/>
        <v>81.199999999999989</v>
      </c>
      <c r="Z211" s="1380"/>
      <c r="AA211" s="1380">
        <f t="shared" si="59"/>
        <v>3993.8799999999997</v>
      </c>
    </row>
    <row r="212" spans="2:27" hidden="1">
      <c r="B212" s="1375">
        <v>217</v>
      </c>
      <c r="C212" s="1376">
        <v>45291</v>
      </c>
      <c r="D212" s="1069"/>
      <c r="E212" s="1069"/>
      <c r="F212" s="1377"/>
      <c r="G212" s="1377"/>
      <c r="H212" s="1377"/>
      <c r="I212" s="1377"/>
      <c r="J212" s="1377"/>
      <c r="K212" s="1377">
        <v>71.540000000000006</v>
      </c>
      <c r="L212" s="1378">
        <f t="shared" si="50"/>
        <v>71.540000000000006</v>
      </c>
      <c r="M212" s="1380">
        <v>58</v>
      </c>
      <c r="N212" s="1380"/>
      <c r="O212" s="1380">
        <f t="shared" si="58"/>
        <v>4149.3200000000006</v>
      </c>
      <c r="P212" s="1069">
        <f t="shared" si="51"/>
        <v>0</v>
      </c>
      <c r="Q212" s="1069">
        <f t="shared" si="52"/>
        <v>0</v>
      </c>
      <c r="R212" s="1069">
        <f t="shared" si="53"/>
        <v>0</v>
      </c>
      <c r="S212" s="1069">
        <f t="shared" si="54"/>
        <v>0</v>
      </c>
      <c r="T212" s="1069">
        <f t="shared" si="55"/>
        <v>0</v>
      </c>
      <c r="U212" s="1069">
        <f t="shared" si="55"/>
        <v>0</v>
      </c>
      <c r="V212" s="1069">
        <f t="shared" si="56"/>
        <v>0</v>
      </c>
      <c r="W212" s="1069">
        <f t="shared" si="57"/>
        <v>51.100000000000009</v>
      </c>
      <c r="X212" s="1378">
        <f t="shared" si="60"/>
        <v>51.100000000000009</v>
      </c>
      <c r="Y212" s="1380">
        <f t="shared" si="61"/>
        <v>81.199999999999989</v>
      </c>
      <c r="Z212" s="1380"/>
      <c r="AA212" s="1380">
        <f t="shared" si="59"/>
        <v>4149.32</v>
      </c>
    </row>
    <row r="213" spans="2:27" hidden="1">
      <c r="B213" s="1375">
        <v>218</v>
      </c>
      <c r="C213" s="1376">
        <v>45291</v>
      </c>
      <c r="D213" s="1069"/>
      <c r="E213" s="1069"/>
      <c r="F213" s="1377"/>
      <c r="G213" s="1377"/>
      <c r="H213" s="1377"/>
      <c r="I213" s="1377"/>
      <c r="J213" s="1377"/>
      <c r="K213" s="1377">
        <v>71.02</v>
      </c>
      <c r="L213" s="1378">
        <f t="shared" si="50"/>
        <v>71.02</v>
      </c>
      <c r="M213" s="1380">
        <v>58</v>
      </c>
      <c r="N213" s="1380"/>
      <c r="O213" s="1380">
        <f t="shared" si="58"/>
        <v>4119.16</v>
      </c>
      <c r="P213" s="1069">
        <f t="shared" si="51"/>
        <v>0</v>
      </c>
      <c r="Q213" s="1069">
        <f t="shared" si="52"/>
        <v>0</v>
      </c>
      <c r="R213" s="1069">
        <f t="shared" si="53"/>
        <v>0</v>
      </c>
      <c r="S213" s="1069">
        <f t="shared" si="54"/>
        <v>0</v>
      </c>
      <c r="T213" s="1069">
        <f t="shared" si="55"/>
        <v>0</v>
      </c>
      <c r="U213" s="1069">
        <f t="shared" si="55"/>
        <v>0</v>
      </c>
      <c r="V213" s="1069">
        <f t="shared" si="56"/>
        <v>0</v>
      </c>
      <c r="W213" s="1069">
        <f t="shared" si="57"/>
        <v>50.728571428571428</v>
      </c>
      <c r="X213" s="1378">
        <f t="shared" si="60"/>
        <v>50.728571428571428</v>
      </c>
      <c r="Y213" s="1380">
        <f t="shared" si="61"/>
        <v>81.199999999999989</v>
      </c>
      <c r="Z213" s="1380"/>
      <c r="AA213" s="1380">
        <f t="shared" si="59"/>
        <v>4119.1599999999989</v>
      </c>
    </row>
    <row r="214" spans="2:27" hidden="1">
      <c r="B214" s="1375">
        <v>219</v>
      </c>
      <c r="C214" s="1376">
        <v>45291</v>
      </c>
      <c r="D214" s="1069"/>
      <c r="E214" s="1069"/>
      <c r="F214" s="1377"/>
      <c r="G214" s="1377"/>
      <c r="H214" s="1377"/>
      <c r="I214" s="1377"/>
      <c r="J214" s="1377"/>
      <c r="K214" s="1377">
        <v>68.92</v>
      </c>
      <c r="L214" s="1378">
        <f t="shared" si="50"/>
        <v>68.92</v>
      </c>
      <c r="M214" s="1380">
        <v>58</v>
      </c>
      <c r="N214" s="1380"/>
      <c r="O214" s="1380">
        <f t="shared" si="58"/>
        <v>3997.36</v>
      </c>
      <c r="P214" s="1069">
        <f t="shared" si="51"/>
        <v>0</v>
      </c>
      <c r="Q214" s="1069">
        <f t="shared" si="52"/>
        <v>0</v>
      </c>
      <c r="R214" s="1069">
        <f t="shared" si="53"/>
        <v>0</v>
      </c>
      <c r="S214" s="1069">
        <f t="shared" si="54"/>
        <v>0</v>
      </c>
      <c r="T214" s="1069">
        <f t="shared" si="55"/>
        <v>0</v>
      </c>
      <c r="U214" s="1069">
        <f t="shared" si="55"/>
        <v>0</v>
      </c>
      <c r="V214" s="1069">
        <f t="shared" si="56"/>
        <v>0</v>
      </c>
      <c r="W214" s="1069">
        <f t="shared" si="57"/>
        <v>49.228571428571435</v>
      </c>
      <c r="X214" s="1378">
        <f t="shared" si="60"/>
        <v>49.228571428571435</v>
      </c>
      <c r="Y214" s="1380">
        <f t="shared" si="61"/>
        <v>81.199999999999989</v>
      </c>
      <c r="Z214" s="1380"/>
      <c r="AA214" s="1380">
        <f t="shared" si="59"/>
        <v>3997.36</v>
      </c>
    </row>
    <row r="215" spans="2:27" hidden="1">
      <c r="B215" s="1375">
        <v>220</v>
      </c>
      <c r="C215" s="1376">
        <v>45291</v>
      </c>
      <c r="D215" s="1069"/>
      <c r="E215" s="1069"/>
      <c r="F215" s="1377"/>
      <c r="G215" s="1377"/>
      <c r="H215" s="1377"/>
      <c r="I215" s="1377"/>
      <c r="J215" s="1377"/>
      <c r="K215" s="1377">
        <v>72.760000000000005</v>
      </c>
      <c r="L215" s="1378">
        <f t="shared" si="50"/>
        <v>72.760000000000005</v>
      </c>
      <c r="M215" s="1380">
        <v>58</v>
      </c>
      <c r="N215" s="1380"/>
      <c r="O215" s="1380">
        <f t="shared" si="58"/>
        <v>4220.08</v>
      </c>
      <c r="P215" s="1069">
        <f t="shared" si="51"/>
        <v>0</v>
      </c>
      <c r="Q215" s="1069">
        <f t="shared" si="52"/>
        <v>0</v>
      </c>
      <c r="R215" s="1069">
        <f t="shared" si="53"/>
        <v>0</v>
      </c>
      <c r="S215" s="1069">
        <f t="shared" si="54"/>
        <v>0</v>
      </c>
      <c r="T215" s="1069">
        <f t="shared" si="55"/>
        <v>0</v>
      </c>
      <c r="U215" s="1069">
        <f t="shared" si="55"/>
        <v>0</v>
      </c>
      <c r="V215" s="1069">
        <f t="shared" si="56"/>
        <v>0</v>
      </c>
      <c r="W215" s="1069">
        <f t="shared" si="57"/>
        <v>51.971428571428575</v>
      </c>
      <c r="X215" s="1378">
        <f t="shared" si="60"/>
        <v>51.971428571428575</v>
      </c>
      <c r="Y215" s="1380">
        <f t="shared" si="61"/>
        <v>81.199999999999989</v>
      </c>
      <c r="Z215" s="1380"/>
      <c r="AA215" s="1380">
        <f t="shared" si="59"/>
        <v>4220.08</v>
      </c>
    </row>
    <row r="216" spans="2:27" hidden="1">
      <c r="B216" s="1375">
        <v>221</v>
      </c>
      <c r="C216" s="1376">
        <v>45291</v>
      </c>
      <c r="D216" s="1069"/>
      <c r="E216" s="1069"/>
      <c r="F216" s="1377"/>
      <c r="G216" s="1377"/>
      <c r="H216" s="1377"/>
      <c r="I216" s="1377"/>
      <c r="J216" s="1377"/>
      <c r="K216" s="1377">
        <v>70.06</v>
      </c>
      <c r="L216" s="1378">
        <f t="shared" si="50"/>
        <v>70.06</v>
      </c>
      <c r="M216" s="1380">
        <v>58</v>
      </c>
      <c r="N216" s="1380"/>
      <c r="O216" s="1380">
        <f t="shared" si="58"/>
        <v>4063.48</v>
      </c>
      <c r="P216" s="1069">
        <f t="shared" si="51"/>
        <v>0</v>
      </c>
      <c r="Q216" s="1069">
        <f t="shared" si="52"/>
        <v>0</v>
      </c>
      <c r="R216" s="1069">
        <f t="shared" si="53"/>
        <v>0</v>
      </c>
      <c r="S216" s="1069">
        <f t="shared" si="54"/>
        <v>0</v>
      </c>
      <c r="T216" s="1069">
        <f t="shared" si="55"/>
        <v>0</v>
      </c>
      <c r="U216" s="1069">
        <f t="shared" si="55"/>
        <v>0</v>
      </c>
      <c r="V216" s="1069">
        <f t="shared" si="56"/>
        <v>0</v>
      </c>
      <c r="W216" s="1069">
        <f t="shared" si="57"/>
        <v>50.042857142857144</v>
      </c>
      <c r="X216" s="1378">
        <f t="shared" si="60"/>
        <v>50.042857142857144</v>
      </c>
      <c r="Y216" s="1380">
        <f t="shared" si="61"/>
        <v>81.199999999999989</v>
      </c>
      <c r="Z216" s="1380"/>
      <c r="AA216" s="1380">
        <f t="shared" si="59"/>
        <v>4063.4799999999996</v>
      </c>
    </row>
    <row r="217" spans="2:27" hidden="1">
      <c r="B217" s="1375">
        <v>222</v>
      </c>
      <c r="C217" s="1376">
        <v>45291</v>
      </c>
      <c r="D217" s="1069"/>
      <c r="E217" s="1069"/>
      <c r="F217" s="1377"/>
      <c r="G217" s="1377"/>
      <c r="H217" s="1377"/>
      <c r="I217" s="1377"/>
      <c r="J217" s="1377"/>
      <c r="K217" s="1377">
        <v>69.319999999999993</v>
      </c>
      <c r="L217" s="1378">
        <f t="shared" si="50"/>
        <v>69.319999999999993</v>
      </c>
      <c r="M217" s="1380">
        <v>58</v>
      </c>
      <c r="N217" s="1380"/>
      <c r="O217" s="1380">
        <f t="shared" si="58"/>
        <v>4020.5599999999995</v>
      </c>
      <c r="P217" s="1069">
        <f t="shared" si="51"/>
        <v>0</v>
      </c>
      <c r="Q217" s="1069">
        <f t="shared" si="52"/>
        <v>0</v>
      </c>
      <c r="R217" s="1069">
        <f t="shared" si="53"/>
        <v>0</v>
      </c>
      <c r="S217" s="1069">
        <f t="shared" si="54"/>
        <v>0</v>
      </c>
      <c r="T217" s="1069">
        <f t="shared" si="55"/>
        <v>0</v>
      </c>
      <c r="U217" s="1069">
        <f t="shared" si="55"/>
        <v>0</v>
      </c>
      <c r="V217" s="1069">
        <f t="shared" si="56"/>
        <v>0</v>
      </c>
      <c r="W217" s="1069">
        <f t="shared" si="57"/>
        <v>49.514285714285712</v>
      </c>
      <c r="X217" s="1378">
        <f t="shared" si="60"/>
        <v>49.514285714285712</v>
      </c>
      <c r="Y217" s="1380">
        <f t="shared" si="61"/>
        <v>81.199999999999989</v>
      </c>
      <c r="Z217" s="1380"/>
      <c r="AA217" s="1380">
        <f t="shared" si="59"/>
        <v>4020.5599999999995</v>
      </c>
    </row>
    <row r="218" spans="2:27" hidden="1">
      <c r="B218" s="1375">
        <v>223</v>
      </c>
      <c r="C218" s="1376">
        <v>45291</v>
      </c>
      <c r="D218" s="1069"/>
      <c r="E218" s="1069"/>
      <c r="F218" s="1377"/>
      <c r="G218" s="1377"/>
      <c r="H218" s="1377"/>
      <c r="I218" s="1377"/>
      <c r="J218" s="1377"/>
      <c r="K218" s="1377">
        <v>74.92</v>
      </c>
      <c r="L218" s="1378">
        <f t="shared" si="50"/>
        <v>74.92</v>
      </c>
      <c r="M218" s="1380">
        <v>58</v>
      </c>
      <c r="N218" s="1380"/>
      <c r="O218" s="1380">
        <f t="shared" si="58"/>
        <v>4345.3599999999997</v>
      </c>
      <c r="P218" s="1069">
        <f t="shared" si="51"/>
        <v>0</v>
      </c>
      <c r="Q218" s="1069">
        <f t="shared" si="52"/>
        <v>0</v>
      </c>
      <c r="R218" s="1069">
        <f t="shared" si="53"/>
        <v>0</v>
      </c>
      <c r="S218" s="1069">
        <f t="shared" si="54"/>
        <v>0</v>
      </c>
      <c r="T218" s="1069">
        <f t="shared" si="55"/>
        <v>0</v>
      </c>
      <c r="U218" s="1069">
        <f t="shared" si="55"/>
        <v>0</v>
      </c>
      <c r="V218" s="1069">
        <f t="shared" si="56"/>
        <v>0</v>
      </c>
      <c r="W218" s="1069">
        <f t="shared" si="57"/>
        <v>53.51428571428572</v>
      </c>
      <c r="X218" s="1378">
        <f t="shared" si="60"/>
        <v>53.51428571428572</v>
      </c>
      <c r="Y218" s="1380">
        <f t="shared" si="61"/>
        <v>81.199999999999989</v>
      </c>
      <c r="Z218" s="1380"/>
      <c r="AA218" s="1380">
        <f t="shared" si="59"/>
        <v>4345.3599999999997</v>
      </c>
    </row>
    <row r="219" spans="2:27" hidden="1">
      <c r="B219" s="1375">
        <v>224</v>
      </c>
      <c r="C219" s="1376">
        <v>45291</v>
      </c>
      <c r="D219" s="1069"/>
      <c r="E219" s="1069"/>
      <c r="F219" s="1377"/>
      <c r="G219" s="1377"/>
      <c r="H219" s="1377"/>
      <c r="I219" s="1377"/>
      <c r="J219" s="1377"/>
      <c r="K219" s="1377">
        <v>71.94</v>
      </c>
      <c r="L219" s="1378">
        <f t="shared" si="50"/>
        <v>71.94</v>
      </c>
      <c r="M219" s="1380">
        <v>58</v>
      </c>
      <c r="N219" s="1380"/>
      <c r="O219" s="1380">
        <f t="shared" si="58"/>
        <v>4172.5199999999995</v>
      </c>
      <c r="P219" s="1069">
        <f t="shared" si="51"/>
        <v>0</v>
      </c>
      <c r="Q219" s="1069">
        <f t="shared" si="52"/>
        <v>0</v>
      </c>
      <c r="R219" s="1069">
        <f t="shared" si="53"/>
        <v>0</v>
      </c>
      <c r="S219" s="1069">
        <f t="shared" si="54"/>
        <v>0</v>
      </c>
      <c r="T219" s="1069">
        <f t="shared" si="55"/>
        <v>0</v>
      </c>
      <c r="U219" s="1069">
        <f t="shared" si="55"/>
        <v>0</v>
      </c>
      <c r="V219" s="1069">
        <f t="shared" si="56"/>
        <v>0</v>
      </c>
      <c r="W219" s="1069">
        <f t="shared" si="57"/>
        <v>51.385714285714286</v>
      </c>
      <c r="X219" s="1378">
        <f t="shared" si="60"/>
        <v>51.385714285714286</v>
      </c>
      <c r="Y219" s="1380">
        <f t="shared" si="61"/>
        <v>81.199999999999989</v>
      </c>
      <c r="Z219" s="1380"/>
      <c r="AA219" s="1380">
        <f t="shared" si="59"/>
        <v>4172.5199999999995</v>
      </c>
    </row>
    <row r="220" spans="2:27" hidden="1">
      <c r="B220" s="1375">
        <v>225</v>
      </c>
      <c r="C220" s="1376">
        <v>45291</v>
      </c>
      <c r="D220" s="1069"/>
      <c r="E220" s="1069"/>
      <c r="F220" s="1377"/>
      <c r="G220" s="1377"/>
      <c r="H220" s="1377"/>
      <c r="I220" s="1377"/>
      <c r="J220" s="1377"/>
      <c r="K220" s="1377">
        <v>74.58</v>
      </c>
      <c r="L220" s="1378">
        <f t="shared" si="50"/>
        <v>74.58</v>
      </c>
      <c r="M220" s="1380">
        <v>58</v>
      </c>
      <c r="N220" s="1380"/>
      <c r="O220" s="1380">
        <f t="shared" si="58"/>
        <v>4325.6400000000003</v>
      </c>
      <c r="P220" s="1069">
        <f t="shared" si="51"/>
        <v>0</v>
      </c>
      <c r="Q220" s="1069">
        <f t="shared" si="52"/>
        <v>0</v>
      </c>
      <c r="R220" s="1069">
        <f t="shared" si="53"/>
        <v>0</v>
      </c>
      <c r="S220" s="1069">
        <f t="shared" si="54"/>
        <v>0</v>
      </c>
      <c r="T220" s="1069">
        <f t="shared" si="55"/>
        <v>0</v>
      </c>
      <c r="U220" s="1069">
        <f t="shared" si="55"/>
        <v>0</v>
      </c>
      <c r="V220" s="1069">
        <f t="shared" si="56"/>
        <v>0</v>
      </c>
      <c r="W220" s="1069">
        <f t="shared" si="57"/>
        <v>53.271428571428572</v>
      </c>
      <c r="X220" s="1378">
        <f t="shared" si="60"/>
        <v>53.271428571428572</v>
      </c>
      <c r="Y220" s="1380">
        <f t="shared" ref="Y220:Y233" si="62">(M220*$P$6)</f>
        <v>81.199999999999989</v>
      </c>
      <c r="Z220" s="1380"/>
      <c r="AA220" s="1380">
        <f t="shared" si="59"/>
        <v>4325.6399999999994</v>
      </c>
    </row>
    <row r="221" spans="2:27" hidden="1">
      <c r="B221" s="1375">
        <v>226</v>
      </c>
      <c r="C221" s="1376">
        <v>45291</v>
      </c>
      <c r="D221" s="1069"/>
      <c r="E221" s="1069"/>
      <c r="F221" s="1377"/>
      <c r="G221" s="1377"/>
      <c r="H221" s="1377"/>
      <c r="I221" s="1377"/>
      <c r="J221" s="1377"/>
      <c r="K221" s="1377">
        <v>71.739999999999995</v>
      </c>
      <c r="L221" s="1378">
        <f t="shared" si="50"/>
        <v>71.739999999999995</v>
      </c>
      <c r="M221" s="1380">
        <v>58</v>
      </c>
      <c r="N221" s="1380"/>
      <c r="O221" s="1380">
        <f t="shared" si="58"/>
        <v>4160.92</v>
      </c>
      <c r="P221" s="1069">
        <f t="shared" si="51"/>
        <v>0</v>
      </c>
      <c r="Q221" s="1069">
        <f t="shared" si="52"/>
        <v>0</v>
      </c>
      <c r="R221" s="1069">
        <f t="shared" si="53"/>
        <v>0</v>
      </c>
      <c r="S221" s="1069">
        <f t="shared" si="54"/>
        <v>0</v>
      </c>
      <c r="T221" s="1069">
        <f t="shared" si="55"/>
        <v>0</v>
      </c>
      <c r="U221" s="1069">
        <f t="shared" si="55"/>
        <v>0</v>
      </c>
      <c r="V221" s="1069">
        <f t="shared" si="56"/>
        <v>0</v>
      </c>
      <c r="W221" s="1069">
        <f t="shared" si="57"/>
        <v>51.24285714285714</v>
      </c>
      <c r="X221" s="1378">
        <f t="shared" si="60"/>
        <v>51.24285714285714</v>
      </c>
      <c r="Y221" s="1380">
        <f t="shared" si="62"/>
        <v>81.199999999999989</v>
      </c>
      <c r="Z221" s="1380"/>
      <c r="AA221" s="1380">
        <f t="shared" si="59"/>
        <v>4160.9199999999992</v>
      </c>
    </row>
    <row r="222" spans="2:27" hidden="1">
      <c r="B222" s="1375">
        <v>227</v>
      </c>
      <c r="C222" s="1376">
        <v>45291</v>
      </c>
      <c r="D222" s="1069"/>
      <c r="E222" s="1069"/>
      <c r="F222" s="1377"/>
      <c r="G222" s="1377"/>
      <c r="H222" s="1377"/>
      <c r="I222" s="1377"/>
      <c r="J222" s="1377"/>
      <c r="K222" s="1377">
        <v>66.180000000000007</v>
      </c>
      <c r="L222" s="1378">
        <f t="shared" si="50"/>
        <v>66.180000000000007</v>
      </c>
      <c r="M222" s="1380">
        <v>58</v>
      </c>
      <c r="N222" s="1380"/>
      <c r="O222" s="1380">
        <f t="shared" si="58"/>
        <v>3838.4400000000005</v>
      </c>
      <c r="P222" s="1069">
        <f t="shared" si="51"/>
        <v>0</v>
      </c>
      <c r="Q222" s="1069">
        <f t="shared" si="52"/>
        <v>0</v>
      </c>
      <c r="R222" s="1069">
        <f t="shared" si="53"/>
        <v>0</v>
      </c>
      <c r="S222" s="1069">
        <f t="shared" si="54"/>
        <v>0</v>
      </c>
      <c r="T222" s="1069">
        <f t="shared" si="55"/>
        <v>0</v>
      </c>
      <c r="U222" s="1069">
        <f t="shared" si="55"/>
        <v>0</v>
      </c>
      <c r="V222" s="1069">
        <f t="shared" si="56"/>
        <v>0</v>
      </c>
      <c r="W222" s="1069">
        <f t="shared" si="57"/>
        <v>47.271428571428579</v>
      </c>
      <c r="X222" s="1378">
        <f t="shared" si="60"/>
        <v>47.271428571428579</v>
      </c>
      <c r="Y222" s="1380">
        <f t="shared" si="62"/>
        <v>81.199999999999989</v>
      </c>
      <c r="Z222" s="1380"/>
      <c r="AA222" s="1380">
        <f t="shared" si="59"/>
        <v>3838.44</v>
      </c>
    </row>
    <row r="223" spans="2:27" hidden="1">
      <c r="B223" s="1375">
        <v>228</v>
      </c>
      <c r="C223" s="1376">
        <v>45291</v>
      </c>
      <c r="D223" s="1069"/>
      <c r="E223" s="1069"/>
      <c r="F223" s="1377"/>
      <c r="G223" s="1377"/>
      <c r="H223" s="1377"/>
      <c r="I223" s="1377"/>
      <c r="J223" s="1377"/>
      <c r="K223" s="1377">
        <v>72.12</v>
      </c>
      <c r="L223" s="1378">
        <f t="shared" si="50"/>
        <v>72.12</v>
      </c>
      <c r="M223" s="1380">
        <v>58</v>
      </c>
      <c r="N223" s="1380"/>
      <c r="O223" s="1380">
        <f t="shared" si="58"/>
        <v>4182.96</v>
      </c>
      <c r="P223" s="1069">
        <f t="shared" si="51"/>
        <v>0</v>
      </c>
      <c r="Q223" s="1069">
        <f t="shared" si="52"/>
        <v>0</v>
      </c>
      <c r="R223" s="1069">
        <f t="shared" si="53"/>
        <v>0</v>
      </c>
      <c r="S223" s="1069">
        <f t="shared" si="54"/>
        <v>0</v>
      </c>
      <c r="T223" s="1069">
        <f t="shared" si="55"/>
        <v>0</v>
      </c>
      <c r="U223" s="1069">
        <f t="shared" si="55"/>
        <v>0</v>
      </c>
      <c r="V223" s="1069">
        <f t="shared" si="56"/>
        <v>0</v>
      </c>
      <c r="W223" s="1069">
        <f t="shared" si="57"/>
        <v>51.51428571428572</v>
      </c>
      <c r="X223" s="1378">
        <f t="shared" si="60"/>
        <v>51.51428571428572</v>
      </c>
      <c r="Y223" s="1380">
        <f t="shared" si="62"/>
        <v>81.199999999999989</v>
      </c>
      <c r="Z223" s="1380"/>
      <c r="AA223" s="1380">
        <f t="shared" si="59"/>
        <v>4182.96</v>
      </c>
    </row>
    <row r="224" spans="2:27" hidden="1">
      <c r="B224" s="1375">
        <v>229</v>
      </c>
      <c r="C224" s="1376">
        <v>45291</v>
      </c>
      <c r="D224" s="1069"/>
      <c r="E224" s="1069"/>
      <c r="F224" s="1377"/>
      <c r="G224" s="1377"/>
      <c r="H224" s="1377"/>
      <c r="I224" s="1377"/>
      <c r="J224" s="1377"/>
      <c r="K224" s="1377">
        <v>73.040000000000006</v>
      </c>
      <c r="L224" s="1378">
        <f t="shared" si="50"/>
        <v>73.040000000000006</v>
      </c>
      <c r="M224" s="1380">
        <v>58</v>
      </c>
      <c r="N224" s="1380"/>
      <c r="O224" s="1380">
        <f t="shared" si="58"/>
        <v>4236.3200000000006</v>
      </c>
      <c r="P224" s="1069">
        <f t="shared" si="51"/>
        <v>0</v>
      </c>
      <c r="Q224" s="1069">
        <f t="shared" si="52"/>
        <v>0</v>
      </c>
      <c r="R224" s="1069">
        <f t="shared" si="53"/>
        <v>0</v>
      </c>
      <c r="S224" s="1069">
        <f t="shared" si="54"/>
        <v>0</v>
      </c>
      <c r="T224" s="1069">
        <f t="shared" si="55"/>
        <v>0</v>
      </c>
      <c r="U224" s="1069">
        <f t="shared" si="55"/>
        <v>0</v>
      </c>
      <c r="V224" s="1069">
        <f t="shared" si="56"/>
        <v>0</v>
      </c>
      <c r="W224" s="1069">
        <f t="shared" si="57"/>
        <v>52.171428571428578</v>
      </c>
      <c r="X224" s="1378">
        <f t="shared" si="60"/>
        <v>52.171428571428578</v>
      </c>
      <c r="Y224" s="1380">
        <f t="shared" si="62"/>
        <v>81.199999999999989</v>
      </c>
      <c r="Z224" s="1380"/>
      <c r="AA224" s="1380">
        <f t="shared" si="59"/>
        <v>4236.32</v>
      </c>
    </row>
    <row r="225" spans="2:27" hidden="1">
      <c r="B225" s="1375">
        <v>230</v>
      </c>
      <c r="C225" s="1376">
        <v>45291</v>
      </c>
      <c r="D225" s="1069"/>
      <c r="E225" s="1069"/>
      <c r="F225" s="1377"/>
      <c r="G225" s="1377"/>
      <c r="H225" s="1377"/>
      <c r="I225" s="1377"/>
      <c r="J225" s="1377"/>
      <c r="K225" s="1377">
        <v>72.400000000000006</v>
      </c>
      <c r="L225" s="1378">
        <f t="shared" si="50"/>
        <v>72.400000000000006</v>
      </c>
      <c r="M225" s="1380">
        <v>58</v>
      </c>
      <c r="N225" s="1380"/>
      <c r="O225" s="1380">
        <f t="shared" si="58"/>
        <v>4199.2000000000007</v>
      </c>
      <c r="P225" s="1069">
        <f t="shared" si="51"/>
        <v>0</v>
      </c>
      <c r="Q225" s="1069">
        <f t="shared" si="52"/>
        <v>0</v>
      </c>
      <c r="R225" s="1069">
        <f t="shared" si="53"/>
        <v>0</v>
      </c>
      <c r="S225" s="1069">
        <f t="shared" si="54"/>
        <v>0</v>
      </c>
      <c r="T225" s="1069">
        <f t="shared" si="55"/>
        <v>0</v>
      </c>
      <c r="U225" s="1069">
        <f t="shared" si="55"/>
        <v>0</v>
      </c>
      <c r="V225" s="1069">
        <f t="shared" si="56"/>
        <v>0</v>
      </c>
      <c r="W225" s="1069">
        <f t="shared" si="57"/>
        <v>51.714285714285722</v>
      </c>
      <c r="X225" s="1378">
        <f t="shared" si="60"/>
        <v>51.714285714285722</v>
      </c>
      <c r="Y225" s="1380">
        <f t="shared" si="62"/>
        <v>81.199999999999989</v>
      </c>
      <c r="Z225" s="1380"/>
      <c r="AA225" s="1380">
        <f t="shared" si="59"/>
        <v>4199.2</v>
      </c>
    </row>
    <row r="226" spans="2:27" hidden="1">
      <c r="B226" s="1375">
        <v>231</v>
      </c>
      <c r="C226" s="1376">
        <v>45291</v>
      </c>
      <c r="D226" s="1069"/>
      <c r="E226" s="1069"/>
      <c r="F226" s="1377"/>
      <c r="G226" s="1377"/>
      <c r="H226" s="1377"/>
      <c r="I226" s="1377"/>
      <c r="J226" s="1377"/>
      <c r="K226" s="1377">
        <v>71.48</v>
      </c>
      <c r="L226" s="1378">
        <f t="shared" si="50"/>
        <v>71.48</v>
      </c>
      <c r="M226" s="1380">
        <v>58</v>
      </c>
      <c r="N226" s="1380"/>
      <c r="O226" s="1380">
        <f t="shared" si="58"/>
        <v>4145.84</v>
      </c>
      <c r="P226" s="1069">
        <f t="shared" si="51"/>
        <v>0</v>
      </c>
      <c r="Q226" s="1069">
        <f t="shared" si="52"/>
        <v>0</v>
      </c>
      <c r="R226" s="1069">
        <f t="shared" si="53"/>
        <v>0</v>
      </c>
      <c r="S226" s="1069">
        <f t="shared" si="54"/>
        <v>0</v>
      </c>
      <c r="T226" s="1069">
        <f t="shared" si="55"/>
        <v>0</v>
      </c>
      <c r="U226" s="1069">
        <f t="shared" si="55"/>
        <v>0</v>
      </c>
      <c r="V226" s="1069">
        <f t="shared" si="56"/>
        <v>0</v>
      </c>
      <c r="W226" s="1069">
        <f t="shared" si="57"/>
        <v>51.057142857142864</v>
      </c>
      <c r="X226" s="1378">
        <f t="shared" si="60"/>
        <v>51.057142857142864</v>
      </c>
      <c r="Y226" s="1380">
        <f t="shared" si="62"/>
        <v>81.199999999999989</v>
      </c>
      <c r="Z226" s="1380"/>
      <c r="AA226" s="1380">
        <f t="shared" si="59"/>
        <v>4145.84</v>
      </c>
    </row>
    <row r="227" spans="2:27" hidden="1">
      <c r="B227" s="1375">
        <v>232</v>
      </c>
      <c r="C227" s="1376">
        <v>45291</v>
      </c>
      <c r="D227" s="1069"/>
      <c r="E227" s="1069"/>
      <c r="F227" s="1377"/>
      <c r="G227" s="1377"/>
      <c r="H227" s="1377"/>
      <c r="I227" s="1377"/>
      <c r="J227" s="1377"/>
      <c r="K227" s="1377">
        <v>72.7</v>
      </c>
      <c r="L227" s="1378">
        <f t="shared" si="50"/>
        <v>72.7</v>
      </c>
      <c r="M227" s="1380">
        <v>58</v>
      </c>
      <c r="N227" s="1380"/>
      <c r="O227" s="1380">
        <f t="shared" si="58"/>
        <v>4216.6000000000004</v>
      </c>
      <c r="P227" s="1069">
        <f t="shared" si="51"/>
        <v>0</v>
      </c>
      <c r="Q227" s="1069">
        <f t="shared" si="52"/>
        <v>0</v>
      </c>
      <c r="R227" s="1069">
        <f t="shared" si="53"/>
        <v>0</v>
      </c>
      <c r="S227" s="1069">
        <f t="shared" si="54"/>
        <v>0</v>
      </c>
      <c r="T227" s="1069">
        <f t="shared" si="55"/>
        <v>0</v>
      </c>
      <c r="U227" s="1069">
        <f t="shared" si="55"/>
        <v>0</v>
      </c>
      <c r="V227" s="1069">
        <f t="shared" si="56"/>
        <v>0</v>
      </c>
      <c r="W227" s="1069">
        <f t="shared" si="57"/>
        <v>51.928571428571431</v>
      </c>
      <c r="X227" s="1378">
        <f t="shared" si="60"/>
        <v>51.928571428571431</v>
      </c>
      <c r="Y227" s="1380">
        <f t="shared" si="62"/>
        <v>81.199999999999989</v>
      </c>
      <c r="Z227" s="1380"/>
      <c r="AA227" s="1380">
        <f t="shared" si="59"/>
        <v>4216.5999999999995</v>
      </c>
    </row>
    <row r="228" spans="2:27" hidden="1">
      <c r="B228" s="1375">
        <v>233</v>
      </c>
      <c r="C228" s="1376">
        <v>45291</v>
      </c>
      <c r="D228" s="1069"/>
      <c r="E228" s="1069"/>
      <c r="F228" s="1377"/>
      <c r="G228" s="1377"/>
      <c r="H228" s="1377"/>
      <c r="I228" s="1377"/>
      <c r="J228" s="1377"/>
      <c r="K228" s="1377">
        <v>72.5</v>
      </c>
      <c r="L228" s="1378">
        <f t="shared" si="50"/>
        <v>72.5</v>
      </c>
      <c r="M228" s="1380">
        <v>58</v>
      </c>
      <c r="N228" s="1380"/>
      <c r="O228" s="1380">
        <f t="shared" si="58"/>
        <v>4205</v>
      </c>
      <c r="P228" s="1069">
        <f t="shared" si="51"/>
        <v>0</v>
      </c>
      <c r="Q228" s="1069">
        <f t="shared" si="52"/>
        <v>0</v>
      </c>
      <c r="R228" s="1069">
        <f t="shared" si="53"/>
        <v>0</v>
      </c>
      <c r="S228" s="1069">
        <f t="shared" si="54"/>
        <v>0</v>
      </c>
      <c r="T228" s="1069">
        <f t="shared" si="55"/>
        <v>0</v>
      </c>
      <c r="U228" s="1069">
        <f t="shared" si="55"/>
        <v>0</v>
      </c>
      <c r="V228" s="1069">
        <f t="shared" si="56"/>
        <v>0</v>
      </c>
      <c r="W228" s="1069">
        <f t="shared" si="57"/>
        <v>51.785714285714292</v>
      </c>
      <c r="X228" s="1378">
        <f t="shared" si="60"/>
        <v>51.785714285714292</v>
      </c>
      <c r="Y228" s="1380">
        <f t="shared" si="62"/>
        <v>81.199999999999989</v>
      </c>
      <c r="Z228" s="1380"/>
      <c r="AA228" s="1380">
        <f t="shared" si="59"/>
        <v>4205</v>
      </c>
    </row>
    <row r="229" spans="2:27" hidden="1">
      <c r="B229" s="1375">
        <v>234</v>
      </c>
      <c r="C229" s="1376">
        <v>45291</v>
      </c>
      <c r="D229" s="1069"/>
      <c r="E229" s="1069"/>
      <c r="F229" s="1377"/>
      <c r="G229" s="1377"/>
      <c r="H229" s="1377"/>
      <c r="I229" s="1377"/>
      <c r="J229" s="1377"/>
      <c r="K229" s="1377">
        <v>73.319999999999993</v>
      </c>
      <c r="L229" s="1378">
        <f t="shared" si="50"/>
        <v>73.319999999999993</v>
      </c>
      <c r="M229" s="1380">
        <v>58</v>
      </c>
      <c r="N229" s="1380"/>
      <c r="O229" s="1380">
        <f t="shared" si="58"/>
        <v>4252.5599999999995</v>
      </c>
      <c r="P229" s="1069">
        <f t="shared" si="51"/>
        <v>0</v>
      </c>
      <c r="Q229" s="1069">
        <f t="shared" si="52"/>
        <v>0</v>
      </c>
      <c r="R229" s="1069">
        <f t="shared" si="53"/>
        <v>0</v>
      </c>
      <c r="S229" s="1069">
        <f t="shared" si="54"/>
        <v>0</v>
      </c>
      <c r="T229" s="1069">
        <f t="shared" si="55"/>
        <v>0</v>
      </c>
      <c r="U229" s="1069">
        <f t="shared" si="55"/>
        <v>0</v>
      </c>
      <c r="V229" s="1069">
        <f t="shared" si="56"/>
        <v>0</v>
      </c>
      <c r="W229" s="1069">
        <f t="shared" si="57"/>
        <v>52.371428571428567</v>
      </c>
      <c r="X229" s="1378">
        <f t="shared" si="60"/>
        <v>52.371428571428567</v>
      </c>
      <c r="Y229" s="1380">
        <f t="shared" si="62"/>
        <v>81.199999999999989</v>
      </c>
      <c r="Z229" s="1380"/>
      <c r="AA229" s="1380">
        <f t="shared" si="59"/>
        <v>4252.5599999999986</v>
      </c>
    </row>
    <row r="230" spans="2:27" hidden="1">
      <c r="B230" s="1375">
        <v>235</v>
      </c>
      <c r="C230" s="1376">
        <v>45291</v>
      </c>
      <c r="D230" s="1069"/>
      <c r="E230" s="1069"/>
      <c r="F230" s="1377"/>
      <c r="G230" s="1377"/>
      <c r="H230" s="1377"/>
      <c r="I230" s="1377"/>
      <c r="J230" s="1377"/>
      <c r="K230" s="1377">
        <v>71.98</v>
      </c>
      <c r="L230" s="1378">
        <f t="shared" si="50"/>
        <v>71.98</v>
      </c>
      <c r="M230" s="1380">
        <v>58</v>
      </c>
      <c r="N230" s="1380"/>
      <c r="O230" s="1380">
        <f t="shared" si="58"/>
        <v>4174.84</v>
      </c>
      <c r="P230" s="1069">
        <f t="shared" si="51"/>
        <v>0</v>
      </c>
      <c r="Q230" s="1069">
        <f t="shared" si="52"/>
        <v>0</v>
      </c>
      <c r="R230" s="1069">
        <f t="shared" si="53"/>
        <v>0</v>
      </c>
      <c r="S230" s="1069">
        <f t="shared" si="54"/>
        <v>0</v>
      </c>
      <c r="T230" s="1069">
        <f t="shared" si="55"/>
        <v>0</v>
      </c>
      <c r="U230" s="1069">
        <f t="shared" si="55"/>
        <v>0</v>
      </c>
      <c r="V230" s="1069">
        <f t="shared" si="56"/>
        <v>0</v>
      </c>
      <c r="W230" s="1069">
        <f t="shared" si="57"/>
        <v>51.414285714285718</v>
      </c>
      <c r="X230" s="1378">
        <f t="shared" si="60"/>
        <v>51.414285714285718</v>
      </c>
      <c r="Y230" s="1380">
        <f t="shared" si="62"/>
        <v>81.199999999999989</v>
      </c>
      <c r="Z230" s="1380"/>
      <c r="AA230" s="1380">
        <f t="shared" si="59"/>
        <v>4174.84</v>
      </c>
    </row>
    <row r="231" spans="2:27" hidden="1">
      <c r="B231" s="1375">
        <v>236</v>
      </c>
      <c r="C231" s="1376">
        <v>45291</v>
      </c>
      <c r="D231" s="1069"/>
      <c r="E231" s="1069"/>
      <c r="F231" s="1377"/>
      <c r="G231" s="1377"/>
      <c r="H231" s="1377"/>
      <c r="I231" s="1377"/>
      <c r="J231" s="1377"/>
      <c r="K231" s="1377">
        <v>50.54</v>
      </c>
      <c r="L231" s="1378">
        <f t="shared" si="50"/>
        <v>50.54</v>
      </c>
      <c r="M231" s="1380">
        <v>58</v>
      </c>
      <c r="N231" s="1380"/>
      <c r="O231" s="1380">
        <f t="shared" si="58"/>
        <v>2931.32</v>
      </c>
      <c r="P231" s="1069">
        <f t="shared" si="51"/>
        <v>0</v>
      </c>
      <c r="Q231" s="1069">
        <f t="shared" si="52"/>
        <v>0</v>
      </c>
      <c r="R231" s="1069">
        <f t="shared" si="53"/>
        <v>0</v>
      </c>
      <c r="S231" s="1069">
        <f t="shared" si="54"/>
        <v>0</v>
      </c>
      <c r="T231" s="1069">
        <f t="shared" si="55"/>
        <v>0</v>
      </c>
      <c r="U231" s="1069">
        <f t="shared" si="55"/>
        <v>0</v>
      </c>
      <c r="V231" s="1069">
        <f t="shared" si="56"/>
        <v>0</v>
      </c>
      <c r="W231" s="1069">
        <f t="shared" si="57"/>
        <v>36.1</v>
      </c>
      <c r="X231" s="1378">
        <f t="shared" si="60"/>
        <v>36.1</v>
      </c>
      <c r="Y231" s="1380">
        <f t="shared" si="62"/>
        <v>81.199999999999989</v>
      </c>
      <c r="Z231" s="1380"/>
      <c r="AA231" s="1380">
        <f t="shared" si="59"/>
        <v>2931.3199999999997</v>
      </c>
    </row>
    <row r="232" spans="2:27" hidden="1">
      <c r="B232" s="1375">
        <v>237</v>
      </c>
      <c r="C232" s="1376">
        <v>45291</v>
      </c>
      <c r="D232" s="1069"/>
      <c r="E232" s="1069"/>
      <c r="F232" s="1377"/>
      <c r="G232" s="1377"/>
      <c r="H232" s="1377"/>
      <c r="I232" s="1377"/>
      <c r="J232" s="1377"/>
      <c r="K232" s="1377">
        <v>70.88</v>
      </c>
      <c r="L232" s="1378">
        <f t="shared" si="50"/>
        <v>70.88</v>
      </c>
      <c r="M232" s="1380">
        <v>58</v>
      </c>
      <c r="N232" s="1380"/>
      <c r="O232" s="1380">
        <f t="shared" si="58"/>
        <v>4111.04</v>
      </c>
      <c r="P232" s="1069">
        <f t="shared" si="51"/>
        <v>0</v>
      </c>
      <c r="Q232" s="1069">
        <f t="shared" si="52"/>
        <v>0</v>
      </c>
      <c r="R232" s="1069">
        <f t="shared" si="53"/>
        <v>0</v>
      </c>
      <c r="S232" s="1069">
        <f t="shared" si="54"/>
        <v>0</v>
      </c>
      <c r="T232" s="1069">
        <f t="shared" si="55"/>
        <v>0</v>
      </c>
      <c r="U232" s="1069">
        <f t="shared" si="55"/>
        <v>0</v>
      </c>
      <c r="V232" s="1069">
        <f t="shared" si="56"/>
        <v>0</v>
      </c>
      <c r="W232" s="1069">
        <f t="shared" si="57"/>
        <v>50.628571428571426</v>
      </c>
      <c r="X232" s="1378">
        <f t="shared" si="60"/>
        <v>50.628571428571426</v>
      </c>
      <c r="Y232" s="1380">
        <f t="shared" si="62"/>
        <v>81.199999999999989</v>
      </c>
      <c r="Z232" s="1380"/>
      <c r="AA232" s="1380">
        <f t="shared" si="59"/>
        <v>4111.0399999999991</v>
      </c>
    </row>
    <row r="233" spans="2:27" hidden="1">
      <c r="B233" s="1375">
        <v>238</v>
      </c>
      <c r="C233" s="1376">
        <v>45291</v>
      </c>
      <c r="D233" s="1069"/>
      <c r="E233" s="1069"/>
      <c r="F233" s="1377"/>
      <c r="G233" s="1377"/>
      <c r="H233" s="1377"/>
      <c r="I233" s="1377"/>
      <c r="J233" s="1377"/>
      <c r="K233" s="1377">
        <v>70.040000000000006</v>
      </c>
      <c r="L233" s="1378">
        <f t="shared" si="50"/>
        <v>70.040000000000006</v>
      </c>
      <c r="M233" s="1380">
        <v>58</v>
      </c>
      <c r="N233" s="1380"/>
      <c r="O233" s="1380">
        <f t="shared" si="58"/>
        <v>4062.32</v>
      </c>
      <c r="P233" s="1069">
        <f t="shared" si="51"/>
        <v>0</v>
      </c>
      <c r="Q233" s="1069">
        <f t="shared" si="52"/>
        <v>0</v>
      </c>
      <c r="R233" s="1069">
        <f t="shared" si="53"/>
        <v>0</v>
      </c>
      <c r="S233" s="1069">
        <f t="shared" si="54"/>
        <v>0</v>
      </c>
      <c r="T233" s="1069">
        <f t="shared" si="55"/>
        <v>0</v>
      </c>
      <c r="U233" s="1069">
        <f t="shared" si="55"/>
        <v>0</v>
      </c>
      <c r="V233" s="1069">
        <f t="shared" si="56"/>
        <v>0</v>
      </c>
      <c r="W233" s="1069">
        <f t="shared" si="57"/>
        <v>50.028571428571439</v>
      </c>
      <c r="X233" s="1378">
        <f t="shared" ref="X233" si="63">SUM(P233:W233)</f>
        <v>50.028571428571439</v>
      </c>
      <c r="Y233" s="1380">
        <f t="shared" si="62"/>
        <v>81.199999999999989</v>
      </c>
      <c r="Z233" s="1380"/>
      <c r="AA233" s="1380">
        <f t="shared" si="59"/>
        <v>4062.32</v>
      </c>
    </row>
    <row r="234" spans="2:27" hidden="1">
      <c r="B234" s="1375">
        <v>239</v>
      </c>
      <c r="C234" s="1376">
        <v>45291</v>
      </c>
      <c r="D234" s="1069"/>
      <c r="E234" s="1069"/>
      <c r="F234" s="1377"/>
      <c r="G234" s="1377"/>
      <c r="H234" s="1377"/>
      <c r="I234" s="1377"/>
      <c r="J234" s="1377"/>
      <c r="K234" s="1377">
        <v>68.34</v>
      </c>
      <c r="L234" s="1378">
        <f t="shared" si="50"/>
        <v>68.34</v>
      </c>
      <c r="M234" s="1380">
        <v>58</v>
      </c>
      <c r="N234" s="1380"/>
      <c r="O234" s="1380">
        <f t="shared" si="58"/>
        <v>3963.7200000000003</v>
      </c>
      <c r="P234" s="1069">
        <f t="shared" ref="P234:P254" si="64">(D234/$P$6)</f>
        <v>0</v>
      </c>
      <c r="Q234" s="1069">
        <f t="shared" ref="Q234:Q254" si="65">(E234/$P$6)</f>
        <v>0</v>
      </c>
      <c r="R234" s="1069">
        <f t="shared" ref="R234:R254" si="66">(F234/$P$6)</f>
        <v>0</v>
      </c>
      <c r="S234" s="1069">
        <f t="shared" ref="S234:S254" si="67">(G234/$P$6)</f>
        <v>0</v>
      </c>
      <c r="T234" s="1069">
        <f t="shared" ref="T234:U254" si="68">(H234/$P$6)</f>
        <v>0</v>
      </c>
      <c r="U234" s="1069">
        <f t="shared" si="68"/>
        <v>0</v>
      </c>
      <c r="V234" s="1069">
        <f t="shared" ref="V234:V254" si="69">(J234/$P$6)</f>
        <v>0</v>
      </c>
      <c r="W234" s="1069">
        <f t="shared" ref="W234:W254" si="70">(K234/$P$6)</f>
        <v>48.814285714285717</v>
      </c>
      <c r="X234" s="1378">
        <f t="shared" ref="X234:X254" si="71">SUM(P234:W234)</f>
        <v>48.814285714285717</v>
      </c>
      <c r="Y234" s="1380">
        <f t="shared" ref="Y234:Y254" si="72">(M234*$P$6)</f>
        <v>81.199999999999989</v>
      </c>
      <c r="Z234" s="1380"/>
      <c r="AA234" s="1380">
        <f t="shared" ref="AA234:AA254" si="73">(X234*Y234)</f>
        <v>3963.72</v>
      </c>
    </row>
    <row r="235" spans="2:27" hidden="1">
      <c r="B235" s="1375">
        <v>240</v>
      </c>
      <c r="C235" s="1376">
        <v>45291</v>
      </c>
      <c r="D235" s="1069"/>
      <c r="E235" s="1069"/>
      <c r="F235" s="1377"/>
      <c r="G235" s="1377"/>
      <c r="H235" s="1377"/>
      <c r="I235" s="1377"/>
      <c r="J235" s="1377"/>
      <c r="K235" s="1377">
        <v>71</v>
      </c>
      <c r="L235" s="1378">
        <f>SUM(D235:K235)</f>
        <v>71</v>
      </c>
      <c r="M235" s="1380">
        <v>58</v>
      </c>
      <c r="N235" s="1380"/>
      <c r="O235" s="1380">
        <f t="shared" si="58"/>
        <v>4118</v>
      </c>
      <c r="P235" s="1069">
        <f t="shared" si="64"/>
        <v>0</v>
      </c>
      <c r="Q235" s="1069">
        <f t="shared" si="65"/>
        <v>0</v>
      </c>
      <c r="R235" s="1069">
        <f t="shared" si="66"/>
        <v>0</v>
      </c>
      <c r="S235" s="1069">
        <f t="shared" si="67"/>
        <v>0</v>
      </c>
      <c r="T235" s="1069">
        <f t="shared" si="68"/>
        <v>0</v>
      </c>
      <c r="U235" s="1069">
        <f t="shared" si="68"/>
        <v>0</v>
      </c>
      <c r="V235" s="1069">
        <f t="shared" si="69"/>
        <v>0</v>
      </c>
      <c r="W235" s="1069">
        <f t="shared" si="70"/>
        <v>50.714285714285715</v>
      </c>
      <c r="X235" s="1378">
        <f t="shared" si="71"/>
        <v>50.714285714285715</v>
      </c>
      <c r="Y235" s="1380">
        <f t="shared" si="72"/>
        <v>81.199999999999989</v>
      </c>
      <c r="Z235" s="1380"/>
      <c r="AA235" s="1380">
        <f t="shared" si="73"/>
        <v>4117.9999999999991</v>
      </c>
    </row>
    <row r="236" spans="2:27" hidden="1">
      <c r="B236" s="1375">
        <v>241</v>
      </c>
      <c r="C236" s="1387">
        <v>45363</v>
      </c>
      <c r="D236" s="1388"/>
      <c r="E236" s="1388"/>
      <c r="F236" s="1389"/>
      <c r="G236" s="1389"/>
      <c r="H236" s="1389">
        <v>24.54</v>
      </c>
      <c r="I236" s="1389">
        <v>30.26</v>
      </c>
      <c r="J236" s="1389"/>
      <c r="K236" s="1389"/>
      <c r="L236" s="1378">
        <f t="shared" ref="L236:L254" si="74">SUM(D236:K236)</f>
        <v>54.8</v>
      </c>
      <c r="M236" s="1380">
        <v>60</v>
      </c>
      <c r="N236" s="1380"/>
      <c r="O236" s="1380">
        <f t="shared" ref="O236:O254" si="75">(L236*M236)</f>
        <v>3288</v>
      </c>
      <c r="P236" s="1069">
        <f t="shared" si="64"/>
        <v>0</v>
      </c>
      <c r="Q236" s="1069">
        <f t="shared" si="65"/>
        <v>0</v>
      </c>
      <c r="R236" s="1069">
        <f t="shared" si="66"/>
        <v>0</v>
      </c>
      <c r="S236" s="1069">
        <f t="shared" si="67"/>
        <v>0</v>
      </c>
      <c r="T236" s="1069">
        <f t="shared" si="68"/>
        <v>17.528571428571428</v>
      </c>
      <c r="U236" s="1069">
        <f t="shared" si="68"/>
        <v>21.614285714285717</v>
      </c>
      <c r="V236" s="1069">
        <f t="shared" si="69"/>
        <v>0</v>
      </c>
      <c r="W236" s="1069">
        <f t="shared" si="70"/>
        <v>0</v>
      </c>
      <c r="X236" s="1378">
        <f t="shared" si="71"/>
        <v>39.142857142857146</v>
      </c>
      <c r="Y236" s="1380">
        <f t="shared" si="72"/>
        <v>84</v>
      </c>
      <c r="Z236" s="1380"/>
      <c r="AA236" s="1380">
        <f t="shared" si="73"/>
        <v>3288.0000000000005</v>
      </c>
    </row>
    <row r="237" spans="2:27" hidden="1">
      <c r="B237" s="1375">
        <v>242</v>
      </c>
      <c r="C237" s="1387">
        <v>45363</v>
      </c>
      <c r="D237" s="1388"/>
      <c r="E237" s="1388"/>
      <c r="F237" s="1389"/>
      <c r="G237" s="1389"/>
      <c r="H237" s="1389">
        <v>30</v>
      </c>
      <c r="I237" s="1389"/>
      <c r="J237" s="1389"/>
      <c r="K237" s="1389"/>
      <c r="L237" s="1378">
        <f t="shared" si="74"/>
        <v>30</v>
      </c>
      <c r="M237" s="1380">
        <v>60</v>
      </c>
      <c r="N237" s="1380"/>
      <c r="O237" s="1380">
        <f t="shared" si="75"/>
        <v>1800</v>
      </c>
      <c r="P237" s="1069">
        <f t="shared" si="64"/>
        <v>0</v>
      </c>
      <c r="Q237" s="1069">
        <f t="shared" si="65"/>
        <v>0</v>
      </c>
      <c r="R237" s="1069">
        <f t="shared" si="66"/>
        <v>0</v>
      </c>
      <c r="S237" s="1069">
        <f t="shared" si="67"/>
        <v>0</v>
      </c>
      <c r="T237" s="1069">
        <f t="shared" si="68"/>
        <v>21.428571428571431</v>
      </c>
      <c r="U237" s="1069">
        <f t="shared" si="68"/>
        <v>0</v>
      </c>
      <c r="V237" s="1069">
        <f t="shared" si="69"/>
        <v>0</v>
      </c>
      <c r="W237" s="1069">
        <f t="shared" si="70"/>
        <v>0</v>
      </c>
      <c r="X237" s="1378">
        <f t="shared" si="71"/>
        <v>21.428571428571431</v>
      </c>
      <c r="Y237" s="1380">
        <f t="shared" si="72"/>
        <v>84</v>
      </c>
      <c r="Z237" s="1380"/>
      <c r="AA237" s="1380">
        <f t="shared" si="73"/>
        <v>1800.0000000000002</v>
      </c>
    </row>
    <row r="238" spans="2:27" hidden="1">
      <c r="B238" s="1375">
        <v>243</v>
      </c>
      <c r="C238" s="1387">
        <v>45363</v>
      </c>
      <c r="D238" s="1388"/>
      <c r="E238" s="1388"/>
      <c r="F238" s="1389"/>
      <c r="G238" s="1389"/>
      <c r="H238" s="1389">
        <v>31.46</v>
      </c>
      <c r="I238" s="1389"/>
      <c r="J238" s="1389"/>
      <c r="K238" s="1389">
        <v>72.260000000000005</v>
      </c>
      <c r="L238" s="1378">
        <f t="shared" si="74"/>
        <v>103.72</v>
      </c>
      <c r="M238" s="1380">
        <v>60</v>
      </c>
      <c r="N238" s="1380"/>
      <c r="O238" s="1380">
        <f t="shared" si="75"/>
        <v>6223.2</v>
      </c>
      <c r="P238" s="1069">
        <f t="shared" si="64"/>
        <v>0</v>
      </c>
      <c r="Q238" s="1069">
        <f t="shared" si="65"/>
        <v>0</v>
      </c>
      <c r="R238" s="1069">
        <f t="shared" si="66"/>
        <v>0</v>
      </c>
      <c r="S238" s="1069">
        <f t="shared" si="67"/>
        <v>0</v>
      </c>
      <c r="T238" s="1069">
        <f t="shared" si="68"/>
        <v>22.471428571428575</v>
      </c>
      <c r="U238" s="1069">
        <f t="shared" si="68"/>
        <v>0</v>
      </c>
      <c r="V238" s="1069">
        <f t="shared" si="69"/>
        <v>0</v>
      </c>
      <c r="W238" s="1069">
        <f t="shared" si="70"/>
        <v>51.614285714285721</v>
      </c>
      <c r="X238" s="1378">
        <f t="shared" si="71"/>
        <v>74.085714285714289</v>
      </c>
      <c r="Y238" s="1380">
        <f t="shared" si="72"/>
        <v>84</v>
      </c>
      <c r="Z238" s="1380"/>
      <c r="AA238" s="1380">
        <f t="shared" si="73"/>
        <v>6223.2000000000007</v>
      </c>
    </row>
    <row r="239" spans="2:27" hidden="1">
      <c r="B239" s="1375">
        <v>244</v>
      </c>
      <c r="C239" s="1387">
        <v>45363</v>
      </c>
      <c r="D239" s="1388"/>
      <c r="E239" s="1388"/>
      <c r="F239" s="1389"/>
      <c r="G239" s="1389"/>
      <c r="H239" s="1389"/>
      <c r="I239" s="1389"/>
      <c r="J239" s="1389"/>
      <c r="K239" s="1389">
        <v>73.98</v>
      </c>
      <c r="L239" s="1378">
        <f t="shared" si="74"/>
        <v>73.98</v>
      </c>
      <c r="M239" s="1380">
        <v>60</v>
      </c>
      <c r="N239" s="1380"/>
      <c r="O239" s="1380">
        <f t="shared" si="75"/>
        <v>4438.8</v>
      </c>
      <c r="P239" s="1069">
        <f t="shared" si="64"/>
        <v>0</v>
      </c>
      <c r="Q239" s="1069">
        <f t="shared" si="65"/>
        <v>0</v>
      </c>
      <c r="R239" s="1069">
        <f t="shared" si="66"/>
        <v>0</v>
      </c>
      <c r="S239" s="1069">
        <f t="shared" si="67"/>
        <v>0</v>
      </c>
      <c r="T239" s="1069">
        <f t="shared" si="68"/>
        <v>0</v>
      </c>
      <c r="U239" s="1069">
        <f t="shared" si="68"/>
        <v>0</v>
      </c>
      <c r="V239" s="1069">
        <f t="shared" si="69"/>
        <v>0</v>
      </c>
      <c r="W239" s="1069">
        <f t="shared" si="70"/>
        <v>52.842857142857149</v>
      </c>
      <c r="X239" s="1378">
        <f t="shared" si="71"/>
        <v>52.842857142857149</v>
      </c>
      <c r="Y239" s="1380">
        <f t="shared" si="72"/>
        <v>84</v>
      </c>
      <c r="Z239" s="1380"/>
      <c r="AA239" s="1380">
        <f t="shared" si="73"/>
        <v>4438.8</v>
      </c>
    </row>
    <row r="240" spans="2:27" hidden="1">
      <c r="B240" s="1375">
        <v>245</v>
      </c>
      <c r="C240" s="1387">
        <v>45363</v>
      </c>
      <c r="D240" s="1388"/>
      <c r="E240" s="1388"/>
      <c r="F240" s="1389"/>
      <c r="G240" s="1389"/>
      <c r="H240" s="1389"/>
      <c r="I240" s="1389"/>
      <c r="J240" s="1389"/>
      <c r="K240" s="1389">
        <v>67.02</v>
      </c>
      <c r="L240" s="1378">
        <f t="shared" si="74"/>
        <v>67.02</v>
      </c>
      <c r="M240" s="1380">
        <v>60</v>
      </c>
      <c r="N240" s="1380"/>
      <c r="O240" s="1380">
        <f t="shared" si="75"/>
        <v>4021.2</v>
      </c>
      <c r="P240" s="1069">
        <f t="shared" si="64"/>
        <v>0</v>
      </c>
      <c r="Q240" s="1069">
        <f t="shared" si="65"/>
        <v>0</v>
      </c>
      <c r="R240" s="1069">
        <f t="shared" si="66"/>
        <v>0</v>
      </c>
      <c r="S240" s="1069">
        <f t="shared" si="67"/>
        <v>0</v>
      </c>
      <c r="T240" s="1069">
        <f t="shared" si="68"/>
        <v>0</v>
      </c>
      <c r="U240" s="1069">
        <f t="shared" si="68"/>
        <v>0</v>
      </c>
      <c r="V240" s="1069">
        <f t="shared" si="69"/>
        <v>0</v>
      </c>
      <c r="W240" s="1069">
        <f t="shared" si="70"/>
        <v>47.871428571428574</v>
      </c>
      <c r="X240" s="1378">
        <f t="shared" si="71"/>
        <v>47.871428571428574</v>
      </c>
      <c r="Y240" s="1380">
        <f t="shared" si="72"/>
        <v>84</v>
      </c>
      <c r="Z240" s="1380"/>
      <c r="AA240" s="1380">
        <f t="shared" si="73"/>
        <v>4021.2000000000003</v>
      </c>
    </row>
    <row r="241" spans="2:27" hidden="1">
      <c r="B241" s="1375">
        <v>246</v>
      </c>
      <c r="C241" s="1387">
        <v>45363</v>
      </c>
      <c r="D241" s="1388"/>
      <c r="E241" s="1388"/>
      <c r="F241" s="1389"/>
      <c r="G241" s="1389"/>
      <c r="H241" s="1389"/>
      <c r="I241" s="1389"/>
      <c r="J241" s="1389"/>
      <c r="K241" s="1389">
        <v>67.900000000000006</v>
      </c>
      <c r="L241" s="1378">
        <f t="shared" si="74"/>
        <v>67.900000000000006</v>
      </c>
      <c r="M241" s="1380">
        <v>60</v>
      </c>
      <c r="N241" s="1380"/>
      <c r="O241" s="1380">
        <f t="shared" si="75"/>
        <v>4074.0000000000005</v>
      </c>
      <c r="P241" s="1069">
        <f t="shared" si="64"/>
        <v>0</v>
      </c>
      <c r="Q241" s="1069">
        <f t="shared" si="65"/>
        <v>0</v>
      </c>
      <c r="R241" s="1069">
        <f t="shared" si="66"/>
        <v>0</v>
      </c>
      <c r="S241" s="1069">
        <f t="shared" si="67"/>
        <v>0</v>
      </c>
      <c r="T241" s="1069">
        <f t="shared" si="68"/>
        <v>0</v>
      </c>
      <c r="U241" s="1069">
        <f t="shared" si="68"/>
        <v>0</v>
      </c>
      <c r="V241" s="1069">
        <f t="shared" si="69"/>
        <v>0</v>
      </c>
      <c r="W241" s="1069">
        <f t="shared" si="70"/>
        <v>48.500000000000007</v>
      </c>
      <c r="X241" s="1378">
        <f t="shared" si="71"/>
        <v>48.500000000000007</v>
      </c>
      <c r="Y241" s="1380">
        <f t="shared" si="72"/>
        <v>84</v>
      </c>
      <c r="Z241" s="1380"/>
      <c r="AA241" s="1380">
        <f t="shared" si="73"/>
        <v>4074.0000000000005</v>
      </c>
    </row>
    <row r="242" spans="2:27" hidden="1">
      <c r="B242" s="1375">
        <v>247</v>
      </c>
      <c r="C242" s="1387">
        <v>45363</v>
      </c>
      <c r="D242" s="1388"/>
      <c r="E242" s="1388"/>
      <c r="F242" s="1389"/>
      <c r="G242" s="1389"/>
      <c r="H242" s="1389"/>
      <c r="I242" s="1389"/>
      <c r="J242" s="1389"/>
      <c r="K242" s="1389">
        <v>71.42</v>
      </c>
      <c r="L242" s="1378">
        <f t="shared" si="74"/>
        <v>71.42</v>
      </c>
      <c r="M242" s="1380">
        <v>60</v>
      </c>
      <c r="N242" s="1380"/>
      <c r="O242" s="1380">
        <f t="shared" si="75"/>
        <v>4285.2</v>
      </c>
      <c r="P242" s="1069">
        <f t="shared" si="64"/>
        <v>0</v>
      </c>
      <c r="Q242" s="1069">
        <f t="shared" si="65"/>
        <v>0</v>
      </c>
      <c r="R242" s="1069">
        <f t="shared" si="66"/>
        <v>0</v>
      </c>
      <c r="S242" s="1069">
        <f t="shared" si="67"/>
        <v>0</v>
      </c>
      <c r="T242" s="1069">
        <f t="shared" si="68"/>
        <v>0</v>
      </c>
      <c r="U242" s="1069">
        <f t="shared" si="68"/>
        <v>0</v>
      </c>
      <c r="V242" s="1069">
        <f t="shared" si="69"/>
        <v>0</v>
      </c>
      <c r="W242" s="1069">
        <f t="shared" si="70"/>
        <v>51.01428571428572</v>
      </c>
      <c r="X242" s="1378">
        <f t="shared" si="71"/>
        <v>51.01428571428572</v>
      </c>
      <c r="Y242" s="1380">
        <f t="shared" si="72"/>
        <v>84</v>
      </c>
      <c r="Z242" s="1380"/>
      <c r="AA242" s="1380">
        <f t="shared" si="73"/>
        <v>4285.2000000000007</v>
      </c>
    </row>
    <row r="243" spans="2:27" hidden="1">
      <c r="B243" s="1375">
        <v>248</v>
      </c>
      <c r="C243" s="1387">
        <v>45363</v>
      </c>
      <c r="D243" s="1388"/>
      <c r="E243" s="1388"/>
      <c r="F243" s="1389"/>
      <c r="G243" s="1389"/>
      <c r="H243" s="1389"/>
      <c r="I243" s="1389"/>
      <c r="J243" s="1389"/>
      <c r="K243" s="1389">
        <v>68.819999999999993</v>
      </c>
      <c r="L243" s="1378">
        <f t="shared" si="74"/>
        <v>68.819999999999993</v>
      </c>
      <c r="M243" s="1380">
        <v>60</v>
      </c>
      <c r="N243" s="1380"/>
      <c r="O243" s="1380">
        <f t="shared" si="75"/>
        <v>4129.2</v>
      </c>
      <c r="P243" s="1069">
        <f t="shared" si="64"/>
        <v>0</v>
      </c>
      <c r="Q243" s="1069">
        <f t="shared" si="65"/>
        <v>0</v>
      </c>
      <c r="R243" s="1069">
        <f t="shared" si="66"/>
        <v>0</v>
      </c>
      <c r="S243" s="1069">
        <f t="shared" si="67"/>
        <v>0</v>
      </c>
      <c r="T243" s="1069">
        <f t="shared" si="68"/>
        <v>0</v>
      </c>
      <c r="U243" s="1069">
        <f t="shared" si="68"/>
        <v>0</v>
      </c>
      <c r="V243" s="1069">
        <f t="shared" si="69"/>
        <v>0</v>
      </c>
      <c r="W243" s="1069">
        <f t="shared" si="70"/>
        <v>49.157142857142858</v>
      </c>
      <c r="X243" s="1378">
        <f t="shared" si="71"/>
        <v>49.157142857142858</v>
      </c>
      <c r="Y243" s="1380">
        <f t="shared" si="72"/>
        <v>84</v>
      </c>
      <c r="Z243" s="1380"/>
      <c r="AA243" s="1380">
        <f t="shared" si="73"/>
        <v>4129.2</v>
      </c>
    </row>
    <row r="244" spans="2:27" hidden="1">
      <c r="B244" s="1375">
        <v>249</v>
      </c>
      <c r="C244" s="1387">
        <v>45363</v>
      </c>
      <c r="D244" s="1388"/>
      <c r="E244" s="1388"/>
      <c r="F244" s="1389"/>
      <c r="G244" s="1389"/>
      <c r="H244" s="1389"/>
      <c r="I244" s="1389"/>
      <c r="J244" s="1389"/>
      <c r="K244" s="1389">
        <v>72.14</v>
      </c>
      <c r="L244" s="1378">
        <f t="shared" si="74"/>
        <v>72.14</v>
      </c>
      <c r="M244" s="1380">
        <v>60</v>
      </c>
      <c r="N244" s="1380"/>
      <c r="O244" s="1380">
        <f t="shared" si="75"/>
        <v>4328.3999999999996</v>
      </c>
      <c r="P244" s="1069">
        <f t="shared" si="64"/>
        <v>0</v>
      </c>
      <c r="Q244" s="1069">
        <f t="shared" si="65"/>
        <v>0</v>
      </c>
      <c r="R244" s="1069">
        <f t="shared" si="66"/>
        <v>0</v>
      </c>
      <c r="S244" s="1069">
        <f t="shared" si="67"/>
        <v>0</v>
      </c>
      <c r="T244" s="1069">
        <f t="shared" si="68"/>
        <v>0</v>
      </c>
      <c r="U244" s="1069">
        <f t="shared" si="68"/>
        <v>0</v>
      </c>
      <c r="V244" s="1069">
        <f t="shared" si="69"/>
        <v>0</v>
      </c>
      <c r="W244" s="1069">
        <f t="shared" si="70"/>
        <v>51.528571428571432</v>
      </c>
      <c r="X244" s="1378">
        <f t="shared" si="71"/>
        <v>51.528571428571432</v>
      </c>
      <c r="Y244" s="1380">
        <f t="shared" si="72"/>
        <v>84</v>
      </c>
      <c r="Z244" s="1380"/>
      <c r="AA244" s="1380">
        <f t="shared" si="73"/>
        <v>4328.4000000000005</v>
      </c>
    </row>
    <row r="245" spans="2:27" hidden="1">
      <c r="B245" s="1375">
        <v>250</v>
      </c>
      <c r="C245" s="1387">
        <v>45363</v>
      </c>
      <c r="D245" s="1388"/>
      <c r="E245" s="1388"/>
      <c r="F245" s="1389"/>
      <c r="G245" s="1389"/>
      <c r="H245" s="1389"/>
      <c r="I245" s="1389"/>
      <c r="J245" s="1389"/>
      <c r="K245" s="1389">
        <v>74.8</v>
      </c>
      <c r="L245" s="1378">
        <f t="shared" si="74"/>
        <v>74.8</v>
      </c>
      <c r="M245" s="1380">
        <v>60</v>
      </c>
      <c r="N245" s="1380"/>
      <c r="O245" s="1380">
        <f t="shared" si="75"/>
        <v>4488</v>
      </c>
      <c r="P245" s="1069">
        <f t="shared" si="64"/>
        <v>0</v>
      </c>
      <c r="Q245" s="1069">
        <f t="shared" si="65"/>
        <v>0</v>
      </c>
      <c r="R245" s="1069">
        <f t="shared" si="66"/>
        <v>0</v>
      </c>
      <c r="S245" s="1069">
        <f t="shared" si="67"/>
        <v>0</v>
      </c>
      <c r="T245" s="1069">
        <f t="shared" si="68"/>
        <v>0</v>
      </c>
      <c r="U245" s="1069">
        <f t="shared" si="68"/>
        <v>0</v>
      </c>
      <c r="V245" s="1069">
        <f t="shared" si="69"/>
        <v>0</v>
      </c>
      <c r="W245" s="1069">
        <f t="shared" si="70"/>
        <v>53.428571428571431</v>
      </c>
      <c r="X245" s="1378">
        <f t="shared" si="71"/>
        <v>53.428571428571431</v>
      </c>
      <c r="Y245" s="1380">
        <f t="shared" si="72"/>
        <v>84</v>
      </c>
      <c r="Z245" s="1380"/>
      <c r="AA245" s="1380">
        <f t="shared" si="73"/>
        <v>4488</v>
      </c>
    </row>
    <row r="246" spans="2:27" hidden="1">
      <c r="B246" s="1375">
        <v>251</v>
      </c>
      <c r="C246" s="1387">
        <v>45363</v>
      </c>
      <c r="D246" s="1388"/>
      <c r="E246" s="1388"/>
      <c r="F246" s="1389"/>
      <c r="G246" s="1389"/>
      <c r="H246" s="1389"/>
      <c r="I246" s="1389"/>
      <c r="J246" s="1389">
        <v>60.9</v>
      </c>
      <c r="K246" s="1389"/>
      <c r="L246" s="1378">
        <f t="shared" si="74"/>
        <v>60.9</v>
      </c>
      <c r="M246" s="1380">
        <v>60</v>
      </c>
      <c r="N246" s="1380"/>
      <c r="O246" s="1380">
        <f t="shared" si="75"/>
        <v>3654</v>
      </c>
      <c r="P246" s="1069">
        <f t="shared" si="64"/>
        <v>0</v>
      </c>
      <c r="Q246" s="1069">
        <f t="shared" si="65"/>
        <v>0</v>
      </c>
      <c r="R246" s="1069">
        <f t="shared" si="66"/>
        <v>0</v>
      </c>
      <c r="S246" s="1069">
        <f t="shared" si="67"/>
        <v>0</v>
      </c>
      <c r="T246" s="1069">
        <f t="shared" si="68"/>
        <v>0</v>
      </c>
      <c r="U246" s="1069">
        <f t="shared" si="68"/>
        <v>0</v>
      </c>
      <c r="V246" s="1069">
        <f t="shared" si="69"/>
        <v>43.5</v>
      </c>
      <c r="W246" s="1069">
        <f t="shared" si="70"/>
        <v>0</v>
      </c>
      <c r="X246" s="1378">
        <f t="shared" si="71"/>
        <v>43.5</v>
      </c>
      <c r="Y246" s="1380">
        <f t="shared" si="72"/>
        <v>84</v>
      </c>
      <c r="Z246" s="1380"/>
      <c r="AA246" s="1380">
        <f t="shared" si="73"/>
        <v>3654</v>
      </c>
    </row>
    <row r="247" spans="2:27" hidden="1">
      <c r="B247" s="1375">
        <v>252</v>
      </c>
      <c r="C247" s="1387">
        <v>45363</v>
      </c>
      <c r="D247" s="1388"/>
      <c r="E247" s="1388"/>
      <c r="F247" s="1389"/>
      <c r="G247" s="1389"/>
      <c r="H247" s="1389"/>
      <c r="I247" s="1389"/>
      <c r="J247" s="1389"/>
      <c r="K247" s="1389">
        <v>72.819999999999993</v>
      </c>
      <c r="L247" s="1378">
        <f t="shared" si="74"/>
        <v>72.819999999999993</v>
      </c>
      <c r="M247" s="1380">
        <v>60</v>
      </c>
      <c r="N247" s="1380"/>
      <c r="O247" s="1380">
        <f t="shared" si="75"/>
        <v>4369.2</v>
      </c>
      <c r="P247" s="1069">
        <f t="shared" si="64"/>
        <v>0</v>
      </c>
      <c r="Q247" s="1069">
        <f t="shared" si="65"/>
        <v>0</v>
      </c>
      <c r="R247" s="1069">
        <f t="shared" si="66"/>
        <v>0</v>
      </c>
      <c r="S247" s="1069">
        <f t="shared" si="67"/>
        <v>0</v>
      </c>
      <c r="T247" s="1069">
        <f t="shared" si="68"/>
        <v>0</v>
      </c>
      <c r="U247" s="1069">
        <f t="shared" si="68"/>
        <v>0</v>
      </c>
      <c r="V247" s="1069">
        <f t="shared" si="69"/>
        <v>0</v>
      </c>
      <c r="W247" s="1069">
        <f t="shared" si="70"/>
        <v>52.014285714285712</v>
      </c>
      <c r="X247" s="1378">
        <f t="shared" si="71"/>
        <v>52.014285714285712</v>
      </c>
      <c r="Y247" s="1380">
        <f t="shared" si="72"/>
        <v>84</v>
      </c>
      <c r="Z247" s="1380"/>
      <c r="AA247" s="1380">
        <f t="shared" si="73"/>
        <v>4369.2</v>
      </c>
    </row>
    <row r="248" spans="2:27" hidden="1">
      <c r="B248" s="1375">
        <v>253</v>
      </c>
      <c r="C248" s="1387">
        <v>45363</v>
      </c>
      <c r="D248" s="1388"/>
      <c r="E248" s="1388"/>
      <c r="F248" s="1389"/>
      <c r="G248" s="1389"/>
      <c r="H248" s="1389"/>
      <c r="I248" s="1389"/>
      <c r="J248" s="1389">
        <v>75.66</v>
      </c>
      <c r="K248" s="1389"/>
      <c r="L248" s="1378">
        <f t="shared" si="74"/>
        <v>75.66</v>
      </c>
      <c r="M248" s="1380">
        <v>60</v>
      </c>
      <c r="N248" s="1380"/>
      <c r="O248" s="1380">
        <f t="shared" si="75"/>
        <v>4539.5999999999995</v>
      </c>
      <c r="P248" s="1069">
        <f t="shared" si="64"/>
        <v>0</v>
      </c>
      <c r="Q248" s="1069">
        <f t="shared" si="65"/>
        <v>0</v>
      </c>
      <c r="R248" s="1069">
        <f t="shared" si="66"/>
        <v>0</v>
      </c>
      <c r="S248" s="1069">
        <f t="shared" si="67"/>
        <v>0</v>
      </c>
      <c r="T248" s="1069">
        <f t="shared" si="68"/>
        <v>0</v>
      </c>
      <c r="U248" s="1069">
        <f t="shared" si="68"/>
        <v>0</v>
      </c>
      <c r="V248" s="1069">
        <f t="shared" si="69"/>
        <v>54.042857142857144</v>
      </c>
      <c r="W248" s="1069">
        <f t="shared" si="70"/>
        <v>0</v>
      </c>
      <c r="X248" s="1378">
        <f t="shared" si="71"/>
        <v>54.042857142857144</v>
      </c>
      <c r="Y248" s="1380">
        <f t="shared" si="72"/>
        <v>84</v>
      </c>
      <c r="Z248" s="1380"/>
      <c r="AA248" s="1380">
        <f t="shared" si="73"/>
        <v>4539.6000000000004</v>
      </c>
    </row>
    <row r="249" spans="2:27" hidden="1">
      <c r="B249" s="1375">
        <v>254</v>
      </c>
      <c r="C249" s="1387">
        <v>45363</v>
      </c>
      <c r="D249" s="1388"/>
      <c r="E249" s="1388"/>
      <c r="F249" s="1389"/>
      <c r="G249" s="1389"/>
      <c r="H249" s="1389"/>
      <c r="I249" s="1389"/>
      <c r="J249" s="1389">
        <v>75.739999999999995</v>
      </c>
      <c r="K249" s="1389"/>
      <c r="L249" s="1378">
        <f t="shared" si="74"/>
        <v>75.739999999999995</v>
      </c>
      <c r="M249" s="1380">
        <v>60</v>
      </c>
      <c r="N249" s="1380"/>
      <c r="O249" s="1380">
        <f t="shared" si="75"/>
        <v>4544.3999999999996</v>
      </c>
      <c r="P249" s="1069">
        <f t="shared" si="64"/>
        <v>0</v>
      </c>
      <c r="Q249" s="1069">
        <f t="shared" si="65"/>
        <v>0</v>
      </c>
      <c r="R249" s="1069">
        <f t="shared" si="66"/>
        <v>0</v>
      </c>
      <c r="S249" s="1069">
        <f t="shared" si="67"/>
        <v>0</v>
      </c>
      <c r="T249" s="1069">
        <f t="shared" si="68"/>
        <v>0</v>
      </c>
      <c r="U249" s="1069">
        <f t="shared" si="68"/>
        <v>0</v>
      </c>
      <c r="V249" s="1069">
        <f t="shared" si="69"/>
        <v>54.1</v>
      </c>
      <c r="W249" s="1069">
        <f t="shared" si="70"/>
        <v>0</v>
      </c>
      <c r="X249" s="1378">
        <f t="shared" si="71"/>
        <v>54.1</v>
      </c>
      <c r="Y249" s="1380">
        <f t="shared" si="72"/>
        <v>84</v>
      </c>
      <c r="Z249" s="1380"/>
      <c r="AA249" s="1380">
        <f t="shared" si="73"/>
        <v>4544.4000000000005</v>
      </c>
    </row>
    <row r="250" spans="2:27" hidden="1">
      <c r="B250" s="1375">
        <v>255</v>
      </c>
      <c r="C250" s="1387">
        <v>45363</v>
      </c>
      <c r="D250" s="1388"/>
      <c r="E250" s="1388"/>
      <c r="F250" s="1389"/>
      <c r="G250" s="1389"/>
      <c r="H250" s="1389"/>
      <c r="I250" s="1389"/>
      <c r="J250" s="1389">
        <v>75.099999999999994</v>
      </c>
      <c r="K250" s="1389"/>
      <c r="L250" s="1378">
        <f t="shared" si="74"/>
        <v>75.099999999999994</v>
      </c>
      <c r="M250" s="1380">
        <v>60</v>
      </c>
      <c r="N250" s="1380"/>
      <c r="O250" s="1380">
        <f t="shared" si="75"/>
        <v>4506</v>
      </c>
      <c r="P250" s="1069">
        <f t="shared" si="64"/>
        <v>0</v>
      </c>
      <c r="Q250" s="1069">
        <f t="shared" si="65"/>
        <v>0</v>
      </c>
      <c r="R250" s="1069">
        <f t="shared" si="66"/>
        <v>0</v>
      </c>
      <c r="S250" s="1069">
        <f t="shared" si="67"/>
        <v>0</v>
      </c>
      <c r="T250" s="1069">
        <f t="shared" si="68"/>
        <v>0</v>
      </c>
      <c r="U250" s="1069">
        <f t="shared" si="68"/>
        <v>0</v>
      </c>
      <c r="V250" s="1069">
        <f t="shared" si="69"/>
        <v>53.642857142857139</v>
      </c>
      <c r="W250" s="1069">
        <f t="shared" si="70"/>
        <v>0</v>
      </c>
      <c r="X250" s="1378">
        <f t="shared" si="71"/>
        <v>53.642857142857139</v>
      </c>
      <c r="Y250" s="1380">
        <f t="shared" si="72"/>
        <v>84</v>
      </c>
      <c r="Z250" s="1380"/>
      <c r="AA250" s="1380">
        <f t="shared" si="73"/>
        <v>4506</v>
      </c>
    </row>
    <row r="251" spans="2:27" hidden="1">
      <c r="B251" s="1375">
        <v>256</v>
      </c>
      <c r="C251" s="1387">
        <v>45363</v>
      </c>
      <c r="D251" s="1388"/>
      <c r="E251" s="1388"/>
      <c r="F251" s="1389"/>
      <c r="G251" s="1389"/>
      <c r="H251" s="1389"/>
      <c r="I251" s="1389"/>
      <c r="J251" s="1389">
        <v>70.819999999999993</v>
      </c>
      <c r="K251" s="1389"/>
      <c r="L251" s="1378">
        <f t="shared" si="74"/>
        <v>70.819999999999993</v>
      </c>
      <c r="M251" s="1380">
        <v>60</v>
      </c>
      <c r="N251" s="1380"/>
      <c r="O251" s="1380">
        <f t="shared" si="75"/>
        <v>4249.2</v>
      </c>
      <c r="P251" s="1069">
        <f t="shared" si="64"/>
        <v>0</v>
      </c>
      <c r="Q251" s="1069">
        <f t="shared" si="65"/>
        <v>0</v>
      </c>
      <c r="R251" s="1069">
        <f t="shared" si="66"/>
        <v>0</v>
      </c>
      <c r="S251" s="1069">
        <f t="shared" si="67"/>
        <v>0</v>
      </c>
      <c r="T251" s="1069">
        <f t="shared" si="68"/>
        <v>0</v>
      </c>
      <c r="U251" s="1069">
        <f t="shared" si="68"/>
        <v>0</v>
      </c>
      <c r="V251" s="1069">
        <f t="shared" si="69"/>
        <v>50.585714285714282</v>
      </c>
      <c r="W251" s="1069">
        <f t="shared" si="70"/>
        <v>0</v>
      </c>
      <c r="X251" s="1378">
        <f t="shared" si="71"/>
        <v>50.585714285714282</v>
      </c>
      <c r="Y251" s="1380">
        <f t="shared" si="72"/>
        <v>84</v>
      </c>
      <c r="Z251" s="1380"/>
      <c r="AA251" s="1380">
        <f t="shared" si="73"/>
        <v>4249.2</v>
      </c>
    </row>
    <row r="252" spans="2:27" hidden="1">
      <c r="B252" s="1375">
        <v>257</v>
      </c>
      <c r="C252" s="1387">
        <v>45363</v>
      </c>
      <c r="D252" s="1388"/>
      <c r="E252" s="1388"/>
      <c r="F252" s="1389"/>
      <c r="G252" s="1389"/>
      <c r="H252" s="1389"/>
      <c r="I252" s="1389"/>
      <c r="J252" s="1389">
        <v>70.34</v>
      </c>
      <c r="K252" s="1389"/>
      <c r="L252" s="1378">
        <f t="shared" si="74"/>
        <v>70.34</v>
      </c>
      <c r="M252" s="1380">
        <v>60</v>
      </c>
      <c r="N252" s="1380"/>
      <c r="O252" s="1380">
        <f t="shared" si="75"/>
        <v>4220.4000000000005</v>
      </c>
      <c r="P252" s="1069">
        <f t="shared" si="64"/>
        <v>0</v>
      </c>
      <c r="Q252" s="1069">
        <f t="shared" si="65"/>
        <v>0</v>
      </c>
      <c r="R252" s="1069">
        <f t="shared" si="66"/>
        <v>0</v>
      </c>
      <c r="S252" s="1069">
        <f t="shared" si="67"/>
        <v>0</v>
      </c>
      <c r="T252" s="1069">
        <f t="shared" si="68"/>
        <v>0</v>
      </c>
      <c r="U252" s="1069">
        <f t="shared" si="68"/>
        <v>0</v>
      </c>
      <c r="V252" s="1069">
        <f t="shared" si="69"/>
        <v>50.242857142857147</v>
      </c>
      <c r="W252" s="1069">
        <f t="shared" si="70"/>
        <v>0</v>
      </c>
      <c r="X252" s="1378">
        <f t="shared" si="71"/>
        <v>50.242857142857147</v>
      </c>
      <c r="Y252" s="1380">
        <f t="shared" si="72"/>
        <v>84</v>
      </c>
      <c r="Z252" s="1380"/>
      <c r="AA252" s="1380">
        <f t="shared" si="73"/>
        <v>4220.4000000000005</v>
      </c>
    </row>
    <row r="253" spans="2:27" hidden="1">
      <c r="B253" s="1375">
        <v>258</v>
      </c>
      <c r="C253" s="1387">
        <v>45363</v>
      </c>
      <c r="D253" s="1388"/>
      <c r="E253" s="1388"/>
      <c r="F253" s="1389"/>
      <c r="G253" s="1389"/>
      <c r="H253" s="1389"/>
      <c r="I253" s="1389"/>
      <c r="J253" s="1389">
        <v>74.3</v>
      </c>
      <c r="K253" s="1389"/>
      <c r="L253" s="1378">
        <f t="shared" si="74"/>
        <v>74.3</v>
      </c>
      <c r="M253" s="1380">
        <v>60</v>
      </c>
      <c r="N253" s="1380"/>
      <c r="O253" s="1380">
        <f t="shared" si="75"/>
        <v>4458</v>
      </c>
      <c r="P253" s="1069">
        <f t="shared" si="64"/>
        <v>0</v>
      </c>
      <c r="Q253" s="1069">
        <f t="shared" si="65"/>
        <v>0</v>
      </c>
      <c r="R253" s="1069">
        <f t="shared" si="66"/>
        <v>0</v>
      </c>
      <c r="S253" s="1069">
        <f t="shared" si="67"/>
        <v>0</v>
      </c>
      <c r="T253" s="1069">
        <f t="shared" si="68"/>
        <v>0</v>
      </c>
      <c r="U253" s="1069">
        <f t="shared" si="68"/>
        <v>0</v>
      </c>
      <c r="V253" s="1069">
        <f t="shared" si="69"/>
        <v>53.071428571428569</v>
      </c>
      <c r="W253" s="1069">
        <f t="shared" si="70"/>
        <v>0</v>
      </c>
      <c r="X253" s="1378">
        <f t="shared" si="71"/>
        <v>53.071428571428569</v>
      </c>
      <c r="Y253" s="1380">
        <f t="shared" si="72"/>
        <v>84</v>
      </c>
      <c r="Z253" s="1380"/>
      <c r="AA253" s="1380">
        <f t="shared" si="73"/>
        <v>4458</v>
      </c>
    </row>
    <row r="254" spans="2:27" hidden="1">
      <c r="B254" s="1375">
        <v>259</v>
      </c>
      <c r="C254" s="1387">
        <v>45363</v>
      </c>
      <c r="D254" s="1388"/>
      <c r="E254" s="1388"/>
      <c r="F254" s="1389"/>
      <c r="G254" s="1389"/>
      <c r="H254" s="1389"/>
      <c r="I254" s="1389"/>
      <c r="J254" s="1389">
        <v>59.66</v>
      </c>
      <c r="K254" s="1389"/>
      <c r="L254" s="1378">
        <f t="shared" si="74"/>
        <v>59.66</v>
      </c>
      <c r="M254" s="1380">
        <v>60</v>
      </c>
      <c r="N254" s="1380"/>
      <c r="O254" s="1380">
        <f t="shared" si="75"/>
        <v>3579.6</v>
      </c>
      <c r="P254" s="1069">
        <f t="shared" si="64"/>
        <v>0</v>
      </c>
      <c r="Q254" s="1069">
        <f t="shared" si="65"/>
        <v>0</v>
      </c>
      <c r="R254" s="1069">
        <f t="shared" si="66"/>
        <v>0</v>
      </c>
      <c r="S254" s="1069">
        <f t="shared" si="67"/>
        <v>0</v>
      </c>
      <c r="T254" s="1069">
        <f t="shared" si="68"/>
        <v>0</v>
      </c>
      <c r="U254" s="1069">
        <f t="shared" si="68"/>
        <v>0</v>
      </c>
      <c r="V254" s="1069">
        <f t="shared" si="69"/>
        <v>42.614285714285714</v>
      </c>
      <c r="W254" s="1069">
        <f t="shared" si="70"/>
        <v>0</v>
      </c>
      <c r="X254" s="1378">
        <f t="shared" si="71"/>
        <v>42.614285714285714</v>
      </c>
      <c r="Y254" s="1380">
        <f t="shared" si="72"/>
        <v>84</v>
      </c>
      <c r="Z254" s="1380"/>
      <c r="AA254" s="1380">
        <f t="shared" si="73"/>
        <v>3579.6</v>
      </c>
    </row>
  </sheetData>
  <autoFilter ref="B8:AA254" xr:uid="{0E177246-EEF8-4B2E-ACD5-EE72B033A581}">
    <filterColumn colId="1">
      <filters>
        <dateGroupItem year="2021" dateTimeGrouping="year"/>
      </filters>
    </filterColumn>
  </autoFilter>
  <conditionalFormatting sqref="P9:W233">
    <cfRule type="cellIs" dxfId="3" priority="2" operator="equal">
      <formula>0</formula>
    </cfRule>
  </conditionalFormatting>
  <conditionalFormatting sqref="P234:W254">
    <cfRule type="cellIs" dxfId="2" priority="1" operator="equal">
      <formula>0</formula>
    </cfRule>
  </conditionalFormatting>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7C7F-9CEE-4A2A-86EF-DAB45BD8BBEC}">
  <sheetPr filterMode="1"/>
  <dimension ref="B1:AA258"/>
  <sheetViews>
    <sheetView workbookViewId="0"/>
  </sheetViews>
  <sheetFormatPr baseColWidth="10" defaultRowHeight="15"/>
  <cols>
    <col min="2" max="2" width="12.28515625" customWidth="1"/>
    <col min="3" max="3" width="12.85546875" bestFit="1" customWidth="1"/>
    <col min="4" max="5" width="12.5703125" style="1456" customWidth="1"/>
    <col min="6" max="12" width="12.5703125" style="77" customWidth="1"/>
    <col min="13" max="13" width="12.5703125" style="1456" hidden="1" customWidth="1"/>
    <col min="14" max="14" width="12.5703125" hidden="1" customWidth="1"/>
    <col min="15" max="15" width="13.5703125" hidden="1" customWidth="1"/>
    <col min="16" max="17" width="12.5703125" style="1456" customWidth="1"/>
    <col min="18" max="24" width="12.5703125" style="77" customWidth="1"/>
    <col min="25" max="25" width="12.5703125" hidden="1" customWidth="1"/>
    <col min="26" max="26" width="12.5703125" customWidth="1"/>
    <col min="27" max="27" width="14.42578125" customWidth="1"/>
  </cols>
  <sheetData>
    <row r="1" spans="2:27">
      <c r="B1" s="1297"/>
    </row>
    <row r="2" spans="2:27">
      <c r="B2" s="1297"/>
    </row>
    <row r="3" spans="2:27">
      <c r="B3" s="1297"/>
    </row>
    <row r="5" spans="2:27">
      <c r="C5" s="1298">
        <f>(C7/O6)+11</f>
        <v>7031.2357142857163</v>
      </c>
    </row>
    <row r="6" spans="2:27">
      <c r="C6" s="1297">
        <f>SUM(P7:W7)+11</f>
        <v>7031.2357142857163</v>
      </c>
      <c r="D6" s="1070">
        <f t="shared" ref="D6:K6" si="0">SUBTOTAL(2,D9:D258)</f>
        <v>0</v>
      </c>
      <c r="E6" s="1070">
        <f t="shared" si="0"/>
        <v>0</v>
      </c>
      <c r="F6" s="1070">
        <f t="shared" si="0"/>
        <v>2</v>
      </c>
      <c r="G6" s="1070">
        <f t="shared" si="0"/>
        <v>16</v>
      </c>
      <c r="H6" s="1070">
        <f t="shared" si="0"/>
        <v>13</v>
      </c>
      <c r="I6" s="1070">
        <f t="shared" si="0"/>
        <v>0</v>
      </c>
      <c r="J6" s="1070">
        <f t="shared" si="0"/>
        <v>86</v>
      </c>
      <c r="K6" s="1070">
        <f t="shared" si="0"/>
        <v>43</v>
      </c>
      <c r="L6" s="1295"/>
      <c r="O6" s="1296">
        <v>1.4</v>
      </c>
      <c r="P6" s="1070"/>
      <c r="Q6" s="1070"/>
      <c r="R6" s="1070"/>
      <c r="S6" s="1070"/>
      <c r="T6" s="1070"/>
      <c r="U6" s="1070"/>
      <c r="V6" s="1070"/>
      <c r="W6" s="1070"/>
      <c r="X6" s="1070"/>
      <c r="Y6" s="1070">
        <f t="shared" ref="Y6:AA6" si="1">SUBTOTAL(2,Y9:Y258)</f>
        <v>227</v>
      </c>
      <c r="Z6" s="1070"/>
      <c r="AA6" s="1070">
        <f t="shared" si="1"/>
        <v>227</v>
      </c>
    </row>
    <row r="7" spans="2:27">
      <c r="C7" s="1297">
        <f>SUM(D7:K7)</f>
        <v>9828.3300000000017</v>
      </c>
      <c r="D7" s="1070">
        <f>SUBTOTAL(9,D9:D258)</f>
        <v>0</v>
      </c>
      <c r="E7" s="1070">
        <f t="shared" ref="E7:L7" si="2">SUBTOTAL(9,E9:E258)</f>
        <v>0</v>
      </c>
      <c r="F7" s="1070">
        <f t="shared" si="2"/>
        <v>51.36</v>
      </c>
      <c r="G7" s="1070">
        <f t="shared" si="2"/>
        <v>390.64000000000004</v>
      </c>
      <c r="H7" s="1070">
        <f t="shared" si="2"/>
        <v>360.64</v>
      </c>
      <c r="I7" s="1070">
        <f t="shared" si="2"/>
        <v>0</v>
      </c>
      <c r="J7" s="1070">
        <f t="shared" si="2"/>
        <v>6027.2500000000009</v>
      </c>
      <c r="K7" s="1070">
        <f t="shared" si="2"/>
        <v>2998.44</v>
      </c>
      <c r="L7" s="1070">
        <f t="shared" si="2"/>
        <v>9828.3300000000017</v>
      </c>
      <c r="O7" s="78">
        <f>SUBTOTAL(9,O9:O258)</f>
        <v>558436.47</v>
      </c>
      <c r="P7" s="1070">
        <f>SUBTOTAL(9,P9:P258)</f>
        <v>0</v>
      </c>
      <c r="Q7" s="1070">
        <f t="shared" ref="Q7:AA7" si="3">SUBTOTAL(9,Q9:Q258)</f>
        <v>0</v>
      </c>
      <c r="R7" s="1070">
        <f t="shared" si="3"/>
        <v>36.685714285714283</v>
      </c>
      <c r="S7" s="1070">
        <f t="shared" si="3"/>
        <v>279.02857142857147</v>
      </c>
      <c r="T7" s="1070">
        <f t="shared" si="3"/>
        <v>257.60000000000002</v>
      </c>
      <c r="U7" s="1070">
        <f t="shared" si="3"/>
        <v>0</v>
      </c>
      <c r="V7" s="1070">
        <f t="shared" si="3"/>
        <v>4305.1785714285725</v>
      </c>
      <c r="W7" s="1070">
        <f t="shared" si="3"/>
        <v>2141.7428571428577</v>
      </c>
      <c r="X7" s="1070">
        <f t="shared" si="3"/>
        <v>7020.2357142857154</v>
      </c>
      <c r="Y7" s="1070">
        <f t="shared" si="3"/>
        <v>13022.800000000037</v>
      </c>
      <c r="Z7" s="1070">
        <f t="shared" si="3"/>
        <v>0</v>
      </c>
      <c r="AA7" s="1070">
        <f t="shared" si="3"/>
        <v>558436.46999999986</v>
      </c>
    </row>
    <row r="8" spans="2:27" ht="48.75" customHeight="1">
      <c r="B8" s="1457" t="s">
        <v>0</v>
      </c>
      <c r="C8" s="1457" t="s">
        <v>57</v>
      </c>
      <c r="D8" s="1458" t="s">
        <v>912</v>
      </c>
      <c r="E8" s="1458" t="s">
        <v>913</v>
      </c>
      <c r="F8" s="1458" t="s">
        <v>914</v>
      </c>
      <c r="G8" s="1458" t="s">
        <v>915</v>
      </c>
      <c r="H8" s="1458" t="s">
        <v>916</v>
      </c>
      <c r="I8" s="1458" t="s">
        <v>945</v>
      </c>
      <c r="J8" s="1458" t="s">
        <v>917</v>
      </c>
      <c r="K8" s="1458" t="s">
        <v>918</v>
      </c>
      <c r="L8" s="1458" t="s">
        <v>926</v>
      </c>
      <c r="M8" s="1458" t="s">
        <v>931</v>
      </c>
      <c r="N8" s="1458" t="s">
        <v>932</v>
      </c>
      <c r="O8" s="1458" t="s">
        <v>930</v>
      </c>
      <c r="P8" s="1458" t="s">
        <v>919</v>
      </c>
      <c r="Q8" s="1458" t="s">
        <v>920</v>
      </c>
      <c r="R8" s="1458" t="s">
        <v>921</v>
      </c>
      <c r="S8" s="1458" t="s">
        <v>922</v>
      </c>
      <c r="T8" s="1458" t="s">
        <v>923</v>
      </c>
      <c r="U8" s="1458" t="s">
        <v>946</v>
      </c>
      <c r="V8" s="1458" t="s">
        <v>924</v>
      </c>
      <c r="W8" s="1458" t="s">
        <v>925</v>
      </c>
      <c r="X8" s="1458" t="s">
        <v>927</v>
      </c>
      <c r="Y8" s="1458" t="s">
        <v>928</v>
      </c>
      <c r="Z8" s="1458" t="s">
        <v>929</v>
      </c>
      <c r="AA8" s="1458" t="s">
        <v>933</v>
      </c>
    </row>
    <row r="9" spans="2:27">
      <c r="B9">
        <v>1</v>
      </c>
      <c r="C9" s="1459">
        <v>44561</v>
      </c>
      <c r="D9" s="1070"/>
      <c r="E9" s="1070"/>
      <c r="F9" s="1295"/>
      <c r="G9" s="1295"/>
      <c r="H9" s="1295"/>
      <c r="I9" s="1295"/>
      <c r="J9" s="1295"/>
      <c r="K9" s="1295"/>
      <c r="L9" s="463">
        <f t="shared" ref="L9:L72" si="4">SUM(D9:K9)</f>
        <v>0</v>
      </c>
      <c r="M9" s="480"/>
      <c r="N9" s="78"/>
      <c r="O9" s="78">
        <f>(L9*M9)</f>
        <v>0</v>
      </c>
      <c r="P9" s="1070">
        <f t="shared" ref="P9:P72" si="5">(D9/$O$6)</f>
        <v>0</v>
      </c>
      <c r="Q9" s="1070">
        <f t="shared" ref="Q9:Q72" si="6">(E9/$O$6)</f>
        <v>0</v>
      </c>
      <c r="R9" s="1070">
        <f t="shared" ref="R9:R72" si="7">(F9/$O$6)</f>
        <v>0</v>
      </c>
      <c r="S9" s="1070">
        <f t="shared" ref="S9:S72" si="8">(G9/$O$6)</f>
        <v>0</v>
      </c>
      <c r="T9" s="1070">
        <f t="shared" ref="T9:T72" si="9">(H9/$O$6)</f>
        <v>0</v>
      </c>
      <c r="U9" s="1070">
        <f t="shared" ref="U9:U72" si="10">(I9/$O$6)</f>
        <v>0</v>
      </c>
      <c r="V9" s="1070">
        <f t="shared" ref="V9:V72" si="11">(J9/$O$6)</f>
        <v>0</v>
      </c>
      <c r="W9" s="1070">
        <f t="shared" ref="W9:W72" si="12">(K9/$O$6)</f>
        <v>0</v>
      </c>
      <c r="X9" s="463">
        <f t="shared" ref="X9:X72" si="13">SUM(P9:W9)</f>
        <v>0</v>
      </c>
      <c r="Y9" s="78">
        <f t="shared" ref="Y9:Y72" si="14">(M9*$O$6)</f>
        <v>0</v>
      </c>
      <c r="Z9" s="78"/>
      <c r="AA9" s="78">
        <f>(X9*Y9)</f>
        <v>0</v>
      </c>
    </row>
    <row r="10" spans="2:27">
      <c r="B10">
        <v>2</v>
      </c>
      <c r="C10" s="1459">
        <v>44561</v>
      </c>
      <c r="D10" s="1070"/>
      <c r="E10" s="1070"/>
      <c r="F10" s="1295"/>
      <c r="G10" s="1295"/>
      <c r="H10" s="1295"/>
      <c r="I10" s="1295"/>
      <c r="J10" s="1295"/>
      <c r="K10" s="1295"/>
      <c r="L10" s="463">
        <f t="shared" si="4"/>
        <v>0</v>
      </c>
      <c r="M10" s="480"/>
      <c r="N10" s="78"/>
      <c r="O10" s="78">
        <f t="shared" ref="O10:O73" si="15">(L10*M10)</f>
        <v>0</v>
      </c>
      <c r="P10" s="1070">
        <f t="shared" si="5"/>
        <v>0</v>
      </c>
      <c r="Q10" s="1070">
        <f t="shared" si="6"/>
        <v>0</v>
      </c>
      <c r="R10" s="1070">
        <f t="shared" si="7"/>
        <v>0</v>
      </c>
      <c r="S10" s="1070">
        <f t="shared" si="8"/>
        <v>0</v>
      </c>
      <c r="T10" s="1070">
        <f t="shared" si="9"/>
        <v>0</v>
      </c>
      <c r="U10" s="1070">
        <f t="shared" si="10"/>
        <v>0</v>
      </c>
      <c r="V10" s="1070">
        <f t="shared" si="11"/>
        <v>0</v>
      </c>
      <c r="W10" s="1070">
        <f t="shared" si="12"/>
        <v>0</v>
      </c>
      <c r="X10" s="463">
        <f t="shared" si="13"/>
        <v>0</v>
      </c>
      <c r="Y10" s="78">
        <f t="shared" si="14"/>
        <v>0</v>
      </c>
      <c r="Z10" s="78"/>
      <c r="AA10" s="78">
        <f t="shared" ref="AA10:AA73" si="16">(X10*Y10)</f>
        <v>0</v>
      </c>
    </row>
    <row r="11" spans="2:27">
      <c r="B11">
        <v>3</v>
      </c>
      <c r="C11" s="1459">
        <v>44561</v>
      </c>
      <c r="D11" s="1070"/>
      <c r="E11" s="1070"/>
      <c r="F11" s="1295"/>
      <c r="G11" s="1295"/>
      <c r="H11" s="1295"/>
      <c r="I11" s="1295"/>
      <c r="J11" s="1295"/>
      <c r="K11" s="1295"/>
      <c r="L11" s="463">
        <f t="shared" si="4"/>
        <v>0</v>
      </c>
      <c r="M11" s="480"/>
      <c r="N11" s="78"/>
      <c r="O11" s="78">
        <f t="shared" si="15"/>
        <v>0</v>
      </c>
      <c r="P11" s="1070">
        <f t="shared" si="5"/>
        <v>0</v>
      </c>
      <c r="Q11" s="1460">
        <f t="shared" si="6"/>
        <v>0</v>
      </c>
      <c r="R11" s="1070">
        <f t="shared" si="7"/>
        <v>0</v>
      </c>
      <c r="S11" s="1070">
        <f t="shared" si="8"/>
        <v>0</v>
      </c>
      <c r="T11" s="1070">
        <f t="shared" si="9"/>
        <v>0</v>
      </c>
      <c r="U11" s="1070">
        <f t="shared" si="10"/>
        <v>0</v>
      </c>
      <c r="V11" s="1070">
        <f t="shared" si="11"/>
        <v>0</v>
      </c>
      <c r="W11" s="1070">
        <f t="shared" si="12"/>
        <v>0</v>
      </c>
      <c r="X11" s="463">
        <f t="shared" si="13"/>
        <v>0</v>
      </c>
      <c r="Y11" s="78">
        <f t="shared" si="14"/>
        <v>0</v>
      </c>
      <c r="Z11" s="78"/>
      <c r="AA11" s="78">
        <f t="shared" si="16"/>
        <v>0</v>
      </c>
    </row>
    <row r="12" spans="2:27">
      <c r="B12">
        <v>4</v>
      </c>
      <c r="C12" s="1459">
        <v>44561</v>
      </c>
      <c r="D12" s="1070"/>
      <c r="E12" s="1070"/>
      <c r="F12" s="1295"/>
      <c r="G12" s="1461"/>
      <c r="H12" s="1295"/>
      <c r="I12" s="1295"/>
      <c r="J12" s="1295"/>
      <c r="K12" s="1295"/>
      <c r="L12" s="1462">
        <f t="shared" si="4"/>
        <v>0</v>
      </c>
      <c r="M12" s="480"/>
      <c r="N12" s="78"/>
      <c r="O12" s="78">
        <f t="shared" si="15"/>
        <v>0</v>
      </c>
      <c r="P12" s="1070">
        <f t="shared" si="5"/>
        <v>0</v>
      </c>
      <c r="Q12" s="1070">
        <f t="shared" si="6"/>
        <v>0</v>
      </c>
      <c r="R12" s="1070">
        <f t="shared" si="7"/>
        <v>0</v>
      </c>
      <c r="S12" s="1296">
        <f t="shared" si="8"/>
        <v>0</v>
      </c>
      <c r="T12" s="1070">
        <f t="shared" si="9"/>
        <v>0</v>
      </c>
      <c r="U12" s="1070">
        <f t="shared" si="10"/>
        <v>0</v>
      </c>
      <c r="V12" s="1070">
        <f t="shared" si="11"/>
        <v>0</v>
      </c>
      <c r="W12" s="1070">
        <f t="shared" si="12"/>
        <v>0</v>
      </c>
      <c r="X12" s="1462">
        <f t="shared" si="13"/>
        <v>0</v>
      </c>
      <c r="Y12" s="78">
        <f t="shared" si="14"/>
        <v>0</v>
      </c>
      <c r="Z12" s="78"/>
      <c r="AA12" s="78">
        <f t="shared" si="16"/>
        <v>0</v>
      </c>
    </row>
    <row r="13" spans="2:27">
      <c r="B13">
        <v>5</v>
      </c>
      <c r="C13" s="1459">
        <v>44561</v>
      </c>
      <c r="D13" s="1070"/>
      <c r="E13" s="1070"/>
      <c r="F13" s="1295"/>
      <c r="G13" s="1461"/>
      <c r="H13" s="1295"/>
      <c r="I13" s="1295"/>
      <c r="J13" s="1295"/>
      <c r="K13" s="1295"/>
      <c r="L13" s="1462">
        <f t="shared" si="4"/>
        <v>0</v>
      </c>
      <c r="M13" s="480"/>
      <c r="N13" s="78"/>
      <c r="O13" s="78">
        <f t="shared" si="15"/>
        <v>0</v>
      </c>
      <c r="P13" s="1070">
        <f t="shared" si="5"/>
        <v>0</v>
      </c>
      <c r="Q13" s="1070">
        <f t="shared" si="6"/>
        <v>0</v>
      </c>
      <c r="R13" s="1070">
        <f t="shared" si="7"/>
        <v>0</v>
      </c>
      <c r="S13" s="1296">
        <f t="shared" si="8"/>
        <v>0</v>
      </c>
      <c r="T13" s="1070">
        <f t="shared" si="9"/>
        <v>0</v>
      </c>
      <c r="U13" s="1070">
        <f t="shared" si="10"/>
        <v>0</v>
      </c>
      <c r="V13" s="1070">
        <f t="shared" si="11"/>
        <v>0</v>
      </c>
      <c r="W13" s="1070">
        <f t="shared" si="12"/>
        <v>0</v>
      </c>
      <c r="X13" s="1462">
        <f t="shared" si="13"/>
        <v>0</v>
      </c>
      <c r="Y13" s="78">
        <f t="shared" si="14"/>
        <v>0</v>
      </c>
      <c r="Z13" s="78"/>
      <c r="AA13" s="78">
        <f t="shared" si="16"/>
        <v>0</v>
      </c>
    </row>
    <row r="14" spans="2:27">
      <c r="B14">
        <v>6</v>
      </c>
      <c r="C14" s="1459">
        <v>44561</v>
      </c>
      <c r="D14" s="1070"/>
      <c r="E14" s="1070"/>
      <c r="F14" s="1295"/>
      <c r="G14" s="1461"/>
      <c r="H14" s="1295"/>
      <c r="I14" s="1295"/>
      <c r="J14" s="1295"/>
      <c r="K14" s="1295"/>
      <c r="L14" s="1462">
        <f t="shared" si="4"/>
        <v>0</v>
      </c>
      <c r="M14" s="480"/>
      <c r="N14" s="78"/>
      <c r="O14" s="78">
        <f t="shared" si="15"/>
        <v>0</v>
      </c>
      <c r="P14" s="1070">
        <f t="shared" si="5"/>
        <v>0</v>
      </c>
      <c r="Q14" s="1070">
        <f t="shared" si="6"/>
        <v>0</v>
      </c>
      <c r="R14" s="1070">
        <f t="shared" si="7"/>
        <v>0</v>
      </c>
      <c r="S14" s="1296">
        <f t="shared" si="8"/>
        <v>0</v>
      </c>
      <c r="T14" s="1070">
        <f t="shared" si="9"/>
        <v>0</v>
      </c>
      <c r="U14" s="1070">
        <f t="shared" si="10"/>
        <v>0</v>
      </c>
      <c r="V14" s="1070">
        <f t="shared" si="11"/>
        <v>0</v>
      </c>
      <c r="W14" s="1070">
        <f t="shared" si="12"/>
        <v>0</v>
      </c>
      <c r="X14" s="1462">
        <f t="shared" si="13"/>
        <v>0</v>
      </c>
      <c r="Y14" s="78">
        <f t="shared" si="14"/>
        <v>0</v>
      </c>
      <c r="Z14" s="78"/>
      <c r="AA14" s="78">
        <f t="shared" si="16"/>
        <v>0</v>
      </c>
    </row>
    <row r="15" spans="2:27">
      <c r="B15">
        <v>7</v>
      </c>
      <c r="C15" s="1459">
        <v>44561</v>
      </c>
      <c r="D15" s="1070"/>
      <c r="E15" s="1070"/>
      <c r="F15" s="1295"/>
      <c r="G15" s="1461"/>
      <c r="H15" s="1295"/>
      <c r="I15" s="1295"/>
      <c r="J15" s="1295"/>
      <c r="K15" s="1295"/>
      <c r="L15" s="1462">
        <f t="shared" si="4"/>
        <v>0</v>
      </c>
      <c r="M15" s="480"/>
      <c r="N15" s="78"/>
      <c r="O15" s="78">
        <f t="shared" si="15"/>
        <v>0</v>
      </c>
      <c r="P15" s="1070">
        <f t="shared" si="5"/>
        <v>0</v>
      </c>
      <c r="Q15" s="1070">
        <f t="shared" si="6"/>
        <v>0</v>
      </c>
      <c r="R15" s="1070">
        <f t="shared" si="7"/>
        <v>0</v>
      </c>
      <c r="S15" s="1296">
        <f t="shared" si="8"/>
        <v>0</v>
      </c>
      <c r="T15" s="1070">
        <f t="shared" si="9"/>
        <v>0</v>
      </c>
      <c r="U15" s="1070">
        <f t="shared" si="10"/>
        <v>0</v>
      </c>
      <c r="V15" s="1070">
        <f t="shared" si="11"/>
        <v>0</v>
      </c>
      <c r="W15" s="1070">
        <f t="shared" si="12"/>
        <v>0</v>
      </c>
      <c r="X15" s="1462">
        <f t="shared" si="13"/>
        <v>0</v>
      </c>
      <c r="Y15" s="78">
        <f t="shared" si="14"/>
        <v>0</v>
      </c>
      <c r="Z15" s="78"/>
      <c r="AA15" s="78">
        <f t="shared" si="16"/>
        <v>0</v>
      </c>
    </row>
    <row r="16" spans="2:27">
      <c r="B16">
        <v>8</v>
      </c>
      <c r="C16" s="1459">
        <v>44561</v>
      </c>
      <c r="D16" s="1070"/>
      <c r="E16" s="1070"/>
      <c r="F16" s="1295"/>
      <c r="G16" s="1461"/>
      <c r="H16" s="1295"/>
      <c r="I16" s="1295"/>
      <c r="J16" s="1295"/>
      <c r="K16" s="1295"/>
      <c r="L16" s="1462">
        <f t="shared" si="4"/>
        <v>0</v>
      </c>
      <c r="M16" s="480"/>
      <c r="N16" s="78"/>
      <c r="O16" s="78">
        <f t="shared" si="15"/>
        <v>0</v>
      </c>
      <c r="P16" s="1070">
        <f t="shared" si="5"/>
        <v>0</v>
      </c>
      <c r="Q16" s="1070">
        <f t="shared" si="6"/>
        <v>0</v>
      </c>
      <c r="R16" s="1070">
        <f t="shared" si="7"/>
        <v>0</v>
      </c>
      <c r="S16" s="1296">
        <f t="shared" si="8"/>
        <v>0</v>
      </c>
      <c r="T16" s="1070">
        <f t="shared" si="9"/>
        <v>0</v>
      </c>
      <c r="U16" s="1070">
        <f t="shared" si="10"/>
        <v>0</v>
      </c>
      <c r="V16" s="1070">
        <f t="shared" si="11"/>
        <v>0</v>
      </c>
      <c r="W16" s="1070">
        <f t="shared" si="12"/>
        <v>0</v>
      </c>
      <c r="X16" s="1462">
        <f t="shared" si="13"/>
        <v>0</v>
      </c>
      <c r="Y16" s="78">
        <f t="shared" si="14"/>
        <v>0</v>
      </c>
      <c r="Z16" s="78"/>
      <c r="AA16" s="78">
        <f t="shared" si="16"/>
        <v>0</v>
      </c>
    </row>
    <row r="17" spans="2:27">
      <c r="B17">
        <v>9</v>
      </c>
      <c r="C17" s="1459">
        <v>44561</v>
      </c>
      <c r="D17" s="1070"/>
      <c r="E17" s="1070"/>
      <c r="F17" s="1295"/>
      <c r="G17" s="1461"/>
      <c r="H17" s="1295"/>
      <c r="I17" s="1295"/>
      <c r="J17" s="1295"/>
      <c r="K17" s="1295"/>
      <c r="L17" s="1462">
        <f t="shared" si="4"/>
        <v>0</v>
      </c>
      <c r="M17" s="480"/>
      <c r="N17" s="78"/>
      <c r="O17" s="78">
        <f t="shared" si="15"/>
        <v>0</v>
      </c>
      <c r="P17" s="1070">
        <f t="shared" si="5"/>
        <v>0</v>
      </c>
      <c r="Q17" s="1070">
        <f t="shared" si="6"/>
        <v>0</v>
      </c>
      <c r="R17" s="1070">
        <f t="shared" si="7"/>
        <v>0</v>
      </c>
      <c r="S17" s="1296">
        <f t="shared" si="8"/>
        <v>0</v>
      </c>
      <c r="T17" s="1070">
        <f t="shared" si="9"/>
        <v>0</v>
      </c>
      <c r="U17" s="1070">
        <f t="shared" si="10"/>
        <v>0</v>
      </c>
      <c r="V17" s="1070">
        <f t="shared" si="11"/>
        <v>0</v>
      </c>
      <c r="W17" s="1070">
        <f t="shared" si="12"/>
        <v>0</v>
      </c>
      <c r="X17" s="1462">
        <f t="shared" si="13"/>
        <v>0</v>
      </c>
      <c r="Y17" s="78">
        <f t="shared" si="14"/>
        <v>0</v>
      </c>
      <c r="Z17" s="78"/>
      <c r="AA17" s="78">
        <f t="shared" si="16"/>
        <v>0</v>
      </c>
    </row>
    <row r="18" spans="2:27">
      <c r="B18">
        <v>10</v>
      </c>
      <c r="C18" s="1459">
        <v>44561</v>
      </c>
      <c r="D18" s="1070"/>
      <c r="E18" s="1070"/>
      <c r="F18" s="1295"/>
      <c r="G18" s="1461"/>
      <c r="H18" s="1295"/>
      <c r="I18" s="1295"/>
      <c r="J18" s="1295"/>
      <c r="K18" s="1295"/>
      <c r="L18" s="1462">
        <f t="shared" si="4"/>
        <v>0</v>
      </c>
      <c r="M18" s="480"/>
      <c r="N18" s="78"/>
      <c r="O18" s="78">
        <f t="shared" si="15"/>
        <v>0</v>
      </c>
      <c r="P18" s="1070">
        <f t="shared" si="5"/>
        <v>0</v>
      </c>
      <c r="Q18" s="1070">
        <f t="shared" si="6"/>
        <v>0</v>
      </c>
      <c r="R18" s="1070">
        <f t="shared" si="7"/>
        <v>0</v>
      </c>
      <c r="S18" s="1296">
        <f t="shared" si="8"/>
        <v>0</v>
      </c>
      <c r="T18" s="1070">
        <f t="shared" si="9"/>
        <v>0</v>
      </c>
      <c r="U18" s="1070">
        <f t="shared" si="10"/>
        <v>0</v>
      </c>
      <c r="V18" s="1070">
        <f t="shared" si="11"/>
        <v>0</v>
      </c>
      <c r="W18" s="1070">
        <f t="shared" si="12"/>
        <v>0</v>
      </c>
      <c r="X18" s="1462">
        <f t="shared" si="13"/>
        <v>0</v>
      </c>
      <c r="Y18" s="78">
        <f t="shared" si="14"/>
        <v>0</v>
      </c>
      <c r="Z18" s="78"/>
      <c r="AA18" s="78">
        <f t="shared" si="16"/>
        <v>0</v>
      </c>
    </row>
    <row r="19" spans="2:27">
      <c r="B19">
        <v>11</v>
      </c>
      <c r="C19" s="1459">
        <v>44561</v>
      </c>
      <c r="D19" s="1070"/>
      <c r="E19" s="1070"/>
      <c r="F19" s="1295"/>
      <c r="G19" s="1461"/>
      <c r="H19" s="1295"/>
      <c r="I19" s="1295"/>
      <c r="J19" s="1295"/>
      <c r="K19" s="1295"/>
      <c r="L19" s="1462">
        <f t="shared" si="4"/>
        <v>0</v>
      </c>
      <c r="M19" s="480"/>
      <c r="N19" s="78"/>
      <c r="O19" s="78">
        <f t="shared" si="15"/>
        <v>0</v>
      </c>
      <c r="P19" s="1070">
        <f t="shared" si="5"/>
        <v>0</v>
      </c>
      <c r="Q19" s="1070">
        <f t="shared" si="6"/>
        <v>0</v>
      </c>
      <c r="R19" s="1070">
        <f t="shared" si="7"/>
        <v>0</v>
      </c>
      <c r="S19" s="1296">
        <f t="shared" si="8"/>
        <v>0</v>
      </c>
      <c r="T19" s="1070">
        <f t="shared" si="9"/>
        <v>0</v>
      </c>
      <c r="U19" s="1070">
        <f t="shared" si="10"/>
        <v>0</v>
      </c>
      <c r="V19" s="1070">
        <f t="shared" si="11"/>
        <v>0</v>
      </c>
      <c r="W19" s="1070">
        <f t="shared" si="12"/>
        <v>0</v>
      </c>
      <c r="X19" s="1462">
        <f t="shared" si="13"/>
        <v>0</v>
      </c>
      <c r="Y19" s="78">
        <f t="shared" si="14"/>
        <v>0</v>
      </c>
      <c r="Z19" s="78"/>
      <c r="AA19" s="78">
        <f t="shared" si="16"/>
        <v>0</v>
      </c>
    </row>
    <row r="20" spans="2:27">
      <c r="B20">
        <v>12</v>
      </c>
      <c r="C20" s="1459">
        <v>44561</v>
      </c>
      <c r="D20" s="1070"/>
      <c r="E20" s="1070"/>
      <c r="F20" s="1295"/>
      <c r="G20" s="1461"/>
      <c r="H20" s="1295"/>
      <c r="I20" s="1295"/>
      <c r="J20" s="1295"/>
      <c r="K20" s="1295"/>
      <c r="L20" s="1462">
        <f t="shared" si="4"/>
        <v>0</v>
      </c>
      <c r="M20" s="480"/>
      <c r="N20" s="78"/>
      <c r="O20" s="78">
        <f t="shared" si="15"/>
        <v>0</v>
      </c>
      <c r="P20" s="1070">
        <f t="shared" si="5"/>
        <v>0</v>
      </c>
      <c r="Q20" s="1070">
        <f t="shared" si="6"/>
        <v>0</v>
      </c>
      <c r="R20" s="1070">
        <f t="shared" si="7"/>
        <v>0</v>
      </c>
      <c r="S20" s="1296">
        <f t="shared" si="8"/>
        <v>0</v>
      </c>
      <c r="T20" s="1070">
        <f t="shared" si="9"/>
        <v>0</v>
      </c>
      <c r="U20" s="1070">
        <f t="shared" si="10"/>
        <v>0</v>
      </c>
      <c r="V20" s="1070">
        <f t="shared" si="11"/>
        <v>0</v>
      </c>
      <c r="W20" s="1070">
        <f t="shared" si="12"/>
        <v>0</v>
      </c>
      <c r="X20" s="1462">
        <f t="shared" si="13"/>
        <v>0</v>
      </c>
      <c r="Y20" s="78">
        <f t="shared" si="14"/>
        <v>0</v>
      </c>
      <c r="Z20" s="78"/>
      <c r="AA20" s="78">
        <f t="shared" si="16"/>
        <v>0</v>
      </c>
    </row>
    <row r="21" spans="2:27">
      <c r="B21">
        <v>13</v>
      </c>
      <c r="C21" s="1459">
        <v>44561</v>
      </c>
      <c r="D21" s="1070"/>
      <c r="E21" s="1070"/>
      <c r="F21" s="1295"/>
      <c r="G21" s="1461"/>
      <c r="H21" s="1295"/>
      <c r="I21" s="1295"/>
      <c r="J21" s="1295"/>
      <c r="K21" s="1295"/>
      <c r="L21" s="1462">
        <f t="shared" si="4"/>
        <v>0</v>
      </c>
      <c r="M21" s="480"/>
      <c r="N21" s="78"/>
      <c r="O21" s="78">
        <f t="shared" si="15"/>
        <v>0</v>
      </c>
      <c r="P21" s="1070">
        <f t="shared" si="5"/>
        <v>0</v>
      </c>
      <c r="Q21" s="1070">
        <f t="shared" si="6"/>
        <v>0</v>
      </c>
      <c r="R21" s="1070">
        <f t="shared" si="7"/>
        <v>0</v>
      </c>
      <c r="S21" s="1296">
        <f t="shared" si="8"/>
        <v>0</v>
      </c>
      <c r="T21" s="1070">
        <f t="shared" si="9"/>
        <v>0</v>
      </c>
      <c r="U21" s="1070">
        <f t="shared" si="10"/>
        <v>0</v>
      </c>
      <c r="V21" s="1070">
        <f t="shared" si="11"/>
        <v>0</v>
      </c>
      <c r="W21" s="1070">
        <f t="shared" si="12"/>
        <v>0</v>
      </c>
      <c r="X21" s="1462">
        <f t="shared" si="13"/>
        <v>0</v>
      </c>
      <c r="Y21" s="78">
        <f t="shared" si="14"/>
        <v>0</v>
      </c>
      <c r="Z21" s="78"/>
      <c r="AA21" s="78">
        <f t="shared" si="16"/>
        <v>0</v>
      </c>
    </row>
    <row r="22" spans="2:27">
      <c r="B22">
        <v>14</v>
      </c>
      <c r="C22" s="1459">
        <v>44561</v>
      </c>
      <c r="D22" s="1070"/>
      <c r="E22" s="1070"/>
      <c r="F22" s="1295"/>
      <c r="G22" s="1461"/>
      <c r="H22" s="1295"/>
      <c r="I22" s="1295"/>
      <c r="J22" s="1295"/>
      <c r="K22" s="1295"/>
      <c r="L22" s="1462">
        <f t="shared" si="4"/>
        <v>0</v>
      </c>
      <c r="M22" s="480"/>
      <c r="N22" s="78"/>
      <c r="O22" s="78">
        <f t="shared" si="15"/>
        <v>0</v>
      </c>
      <c r="P22" s="1070">
        <f t="shared" si="5"/>
        <v>0</v>
      </c>
      <c r="Q22" s="1070">
        <f t="shared" si="6"/>
        <v>0</v>
      </c>
      <c r="R22" s="1070">
        <f t="shared" si="7"/>
        <v>0</v>
      </c>
      <c r="S22" s="1296">
        <f t="shared" si="8"/>
        <v>0</v>
      </c>
      <c r="T22" s="1070">
        <f t="shared" si="9"/>
        <v>0</v>
      </c>
      <c r="U22" s="1070">
        <f t="shared" si="10"/>
        <v>0</v>
      </c>
      <c r="V22" s="1070">
        <f t="shared" si="11"/>
        <v>0</v>
      </c>
      <c r="W22" s="1070">
        <f t="shared" si="12"/>
        <v>0</v>
      </c>
      <c r="X22" s="1462">
        <f t="shared" si="13"/>
        <v>0</v>
      </c>
      <c r="Y22" s="78">
        <f t="shared" si="14"/>
        <v>0</v>
      </c>
      <c r="Z22" s="78"/>
      <c r="AA22" s="78">
        <f t="shared" si="16"/>
        <v>0</v>
      </c>
    </row>
    <row r="23" spans="2:27">
      <c r="B23">
        <v>15</v>
      </c>
      <c r="C23" s="1459">
        <v>44561</v>
      </c>
      <c r="D23" s="1070"/>
      <c r="E23" s="1070"/>
      <c r="F23" s="1295"/>
      <c r="G23" s="1461"/>
      <c r="H23" s="1295"/>
      <c r="I23" s="1295"/>
      <c r="J23" s="1295"/>
      <c r="K23" s="1295"/>
      <c r="L23" s="1462">
        <f t="shared" si="4"/>
        <v>0</v>
      </c>
      <c r="M23" s="480"/>
      <c r="N23" s="78"/>
      <c r="O23" s="78">
        <f t="shared" si="15"/>
        <v>0</v>
      </c>
      <c r="P23" s="1070">
        <f t="shared" si="5"/>
        <v>0</v>
      </c>
      <c r="Q23" s="1070">
        <f t="shared" si="6"/>
        <v>0</v>
      </c>
      <c r="R23" s="1070">
        <f t="shared" si="7"/>
        <v>0</v>
      </c>
      <c r="S23" s="1296">
        <f t="shared" si="8"/>
        <v>0</v>
      </c>
      <c r="T23" s="1070">
        <f t="shared" si="9"/>
        <v>0</v>
      </c>
      <c r="U23" s="1070">
        <f t="shared" si="10"/>
        <v>0</v>
      </c>
      <c r="V23" s="1070">
        <f t="shared" si="11"/>
        <v>0</v>
      </c>
      <c r="W23" s="1070">
        <f t="shared" si="12"/>
        <v>0</v>
      </c>
      <c r="X23" s="1462">
        <f t="shared" si="13"/>
        <v>0</v>
      </c>
      <c r="Y23" s="78">
        <f t="shared" si="14"/>
        <v>0</v>
      </c>
      <c r="Z23" s="78"/>
      <c r="AA23" s="78">
        <f t="shared" si="16"/>
        <v>0</v>
      </c>
    </row>
    <row r="24" spans="2:27">
      <c r="B24">
        <v>16</v>
      </c>
      <c r="C24" s="1459">
        <v>44561</v>
      </c>
      <c r="D24" s="1070"/>
      <c r="E24" s="1070"/>
      <c r="F24" s="1295"/>
      <c r="G24" s="1461"/>
      <c r="H24" s="1295"/>
      <c r="I24" s="1295"/>
      <c r="J24" s="1295"/>
      <c r="K24" s="1295"/>
      <c r="L24" s="1462">
        <f t="shared" si="4"/>
        <v>0</v>
      </c>
      <c r="M24" s="480"/>
      <c r="N24" s="78"/>
      <c r="O24" s="78">
        <f t="shared" si="15"/>
        <v>0</v>
      </c>
      <c r="P24" s="1070">
        <f t="shared" si="5"/>
        <v>0</v>
      </c>
      <c r="Q24" s="1070">
        <f t="shared" si="6"/>
        <v>0</v>
      </c>
      <c r="R24" s="1070">
        <f t="shared" si="7"/>
        <v>0</v>
      </c>
      <c r="S24" s="1296">
        <f t="shared" si="8"/>
        <v>0</v>
      </c>
      <c r="T24" s="1070">
        <f t="shared" si="9"/>
        <v>0</v>
      </c>
      <c r="U24" s="1070">
        <f t="shared" si="10"/>
        <v>0</v>
      </c>
      <c r="V24" s="1070">
        <f t="shared" si="11"/>
        <v>0</v>
      </c>
      <c r="W24" s="1070">
        <f t="shared" si="12"/>
        <v>0</v>
      </c>
      <c r="X24" s="1462">
        <f t="shared" si="13"/>
        <v>0</v>
      </c>
      <c r="Y24" s="78">
        <f t="shared" si="14"/>
        <v>0</v>
      </c>
      <c r="Z24" s="78"/>
      <c r="AA24" s="78">
        <f t="shared" si="16"/>
        <v>0</v>
      </c>
    </row>
    <row r="25" spans="2:27">
      <c r="B25">
        <v>17</v>
      </c>
      <c r="C25" s="1459">
        <v>44561</v>
      </c>
      <c r="D25" s="1070"/>
      <c r="E25" s="1070"/>
      <c r="F25" s="1295"/>
      <c r="G25" s="1461"/>
      <c r="H25" s="1295"/>
      <c r="I25" s="1295"/>
      <c r="J25" s="1295"/>
      <c r="K25" s="1295"/>
      <c r="L25" s="1462">
        <f t="shared" si="4"/>
        <v>0</v>
      </c>
      <c r="M25" s="480"/>
      <c r="N25" s="78"/>
      <c r="O25" s="78">
        <f t="shared" si="15"/>
        <v>0</v>
      </c>
      <c r="P25" s="1070">
        <f t="shared" si="5"/>
        <v>0</v>
      </c>
      <c r="Q25" s="1070">
        <f t="shared" si="6"/>
        <v>0</v>
      </c>
      <c r="R25" s="1070">
        <f t="shared" si="7"/>
        <v>0</v>
      </c>
      <c r="S25" s="1296">
        <f t="shared" si="8"/>
        <v>0</v>
      </c>
      <c r="T25" s="1070">
        <f t="shared" si="9"/>
        <v>0</v>
      </c>
      <c r="U25" s="1070">
        <f t="shared" si="10"/>
        <v>0</v>
      </c>
      <c r="V25" s="1070">
        <f t="shared" si="11"/>
        <v>0</v>
      </c>
      <c r="W25" s="1070">
        <f t="shared" si="12"/>
        <v>0</v>
      </c>
      <c r="X25" s="1462">
        <f t="shared" si="13"/>
        <v>0</v>
      </c>
      <c r="Y25" s="78">
        <f t="shared" si="14"/>
        <v>0</v>
      </c>
      <c r="Z25" s="78"/>
      <c r="AA25" s="78">
        <f t="shared" si="16"/>
        <v>0</v>
      </c>
    </row>
    <row r="26" spans="2:27">
      <c r="B26">
        <v>18</v>
      </c>
      <c r="C26" s="1459">
        <v>44561</v>
      </c>
      <c r="D26" s="1070"/>
      <c r="E26" s="1070"/>
      <c r="F26" s="1295"/>
      <c r="G26" s="1461"/>
      <c r="H26" s="1295"/>
      <c r="I26" s="1295"/>
      <c r="J26" s="1295"/>
      <c r="K26" s="1295"/>
      <c r="L26" s="1462">
        <f t="shared" si="4"/>
        <v>0</v>
      </c>
      <c r="M26" s="480"/>
      <c r="N26" s="78"/>
      <c r="O26" s="78">
        <f t="shared" si="15"/>
        <v>0</v>
      </c>
      <c r="P26" s="1070">
        <f t="shared" si="5"/>
        <v>0</v>
      </c>
      <c r="Q26" s="1070">
        <f t="shared" si="6"/>
        <v>0</v>
      </c>
      <c r="R26" s="1070">
        <f t="shared" si="7"/>
        <v>0</v>
      </c>
      <c r="S26" s="1296">
        <f t="shared" si="8"/>
        <v>0</v>
      </c>
      <c r="T26" s="1070">
        <f t="shared" si="9"/>
        <v>0</v>
      </c>
      <c r="U26" s="1070">
        <f t="shared" si="10"/>
        <v>0</v>
      </c>
      <c r="V26" s="1070">
        <f t="shared" si="11"/>
        <v>0</v>
      </c>
      <c r="W26" s="1070">
        <f t="shared" si="12"/>
        <v>0</v>
      </c>
      <c r="X26" s="1462">
        <f t="shared" si="13"/>
        <v>0</v>
      </c>
      <c r="Y26" s="78">
        <f t="shared" si="14"/>
        <v>0</v>
      </c>
      <c r="Z26" s="78"/>
      <c r="AA26" s="78">
        <f t="shared" si="16"/>
        <v>0</v>
      </c>
    </row>
    <row r="27" spans="2:27">
      <c r="B27">
        <v>19</v>
      </c>
      <c r="C27" s="1459">
        <v>44561</v>
      </c>
      <c r="D27" s="1070"/>
      <c r="E27" s="1070"/>
      <c r="F27" s="1461"/>
      <c r="G27" s="1295"/>
      <c r="H27" s="1295"/>
      <c r="I27" s="1295"/>
      <c r="J27" s="1295"/>
      <c r="K27" s="1295"/>
      <c r="L27" s="1462">
        <f t="shared" si="4"/>
        <v>0</v>
      </c>
      <c r="M27" s="480"/>
      <c r="N27" s="78"/>
      <c r="O27" s="78">
        <f t="shared" si="15"/>
        <v>0</v>
      </c>
      <c r="P27" s="1070">
        <f t="shared" si="5"/>
        <v>0</v>
      </c>
      <c r="Q27" s="1070">
        <f t="shared" si="6"/>
        <v>0</v>
      </c>
      <c r="R27" s="1296">
        <f t="shared" si="7"/>
        <v>0</v>
      </c>
      <c r="S27" s="1070">
        <f t="shared" si="8"/>
        <v>0</v>
      </c>
      <c r="T27" s="1070">
        <f t="shared" si="9"/>
        <v>0</v>
      </c>
      <c r="U27" s="1070">
        <f t="shared" si="10"/>
        <v>0</v>
      </c>
      <c r="V27" s="1070">
        <f t="shared" si="11"/>
        <v>0</v>
      </c>
      <c r="W27" s="1070">
        <f t="shared" si="12"/>
        <v>0</v>
      </c>
      <c r="X27" s="1462">
        <f t="shared" si="13"/>
        <v>0</v>
      </c>
      <c r="Y27" s="78">
        <f t="shared" si="14"/>
        <v>0</v>
      </c>
      <c r="Z27" s="78"/>
      <c r="AA27" s="78">
        <f t="shared" si="16"/>
        <v>0</v>
      </c>
    </row>
    <row r="28" spans="2:27">
      <c r="B28">
        <v>20</v>
      </c>
      <c r="C28" s="1459">
        <v>44561</v>
      </c>
      <c r="D28" s="1070"/>
      <c r="E28" s="1070"/>
      <c r="F28" s="1461"/>
      <c r="G28" s="1295"/>
      <c r="H28" s="1295"/>
      <c r="I28" s="1295"/>
      <c r="J28" s="1295"/>
      <c r="K28" s="1295"/>
      <c r="L28" s="1462">
        <f t="shared" si="4"/>
        <v>0</v>
      </c>
      <c r="M28" s="480"/>
      <c r="N28" s="78"/>
      <c r="O28" s="78">
        <f t="shared" si="15"/>
        <v>0</v>
      </c>
      <c r="P28" s="1070">
        <f t="shared" si="5"/>
        <v>0</v>
      </c>
      <c r="Q28" s="1070">
        <f t="shared" si="6"/>
        <v>0</v>
      </c>
      <c r="R28" s="1296">
        <f t="shared" si="7"/>
        <v>0</v>
      </c>
      <c r="S28" s="1070">
        <f t="shared" si="8"/>
        <v>0</v>
      </c>
      <c r="T28" s="1070">
        <f t="shared" si="9"/>
        <v>0</v>
      </c>
      <c r="U28" s="1070">
        <f t="shared" si="10"/>
        <v>0</v>
      </c>
      <c r="V28" s="1070">
        <f t="shared" si="11"/>
        <v>0</v>
      </c>
      <c r="W28" s="1070">
        <f t="shared" si="12"/>
        <v>0</v>
      </c>
      <c r="X28" s="1462">
        <f t="shared" si="13"/>
        <v>0</v>
      </c>
      <c r="Y28" s="78">
        <f t="shared" si="14"/>
        <v>0</v>
      </c>
      <c r="Z28" s="78"/>
      <c r="AA28" s="78">
        <f t="shared" si="16"/>
        <v>0</v>
      </c>
    </row>
    <row r="29" spans="2:27">
      <c r="B29">
        <v>21</v>
      </c>
      <c r="C29" s="1459">
        <v>44561</v>
      </c>
      <c r="D29" s="1070"/>
      <c r="E29" s="1070"/>
      <c r="F29" s="1295"/>
      <c r="G29" s="1295">
        <v>26.32</v>
      </c>
      <c r="H29" s="1295"/>
      <c r="I29" s="1295"/>
      <c r="J29" s="1295"/>
      <c r="K29" s="1295"/>
      <c r="L29" s="463">
        <f t="shared" si="4"/>
        <v>26.32</v>
      </c>
      <c r="M29" s="480">
        <v>55</v>
      </c>
      <c r="N29" s="78"/>
      <c r="O29" s="78">
        <f t="shared" si="15"/>
        <v>1447.6</v>
      </c>
      <c r="P29" s="1070">
        <f t="shared" si="5"/>
        <v>0</v>
      </c>
      <c r="Q29" s="1070">
        <f t="shared" si="6"/>
        <v>0</v>
      </c>
      <c r="R29" s="1070">
        <f t="shared" si="7"/>
        <v>0</v>
      </c>
      <c r="S29" s="1070">
        <f t="shared" si="8"/>
        <v>18.8</v>
      </c>
      <c r="T29" s="1070">
        <f t="shared" si="9"/>
        <v>0</v>
      </c>
      <c r="U29" s="1070">
        <f t="shared" si="10"/>
        <v>0</v>
      </c>
      <c r="V29" s="1070">
        <f t="shared" si="11"/>
        <v>0</v>
      </c>
      <c r="W29" s="1070">
        <f t="shared" si="12"/>
        <v>0</v>
      </c>
      <c r="X29" s="463">
        <f t="shared" si="13"/>
        <v>18.8</v>
      </c>
      <c r="Y29" s="78">
        <f t="shared" si="14"/>
        <v>77</v>
      </c>
      <c r="Z29" s="78"/>
      <c r="AA29" s="78">
        <f t="shared" si="16"/>
        <v>1447.6000000000001</v>
      </c>
    </row>
    <row r="30" spans="2:27">
      <c r="B30">
        <v>22</v>
      </c>
      <c r="C30" s="1459">
        <v>44561</v>
      </c>
      <c r="D30" s="1070"/>
      <c r="E30" s="1070"/>
      <c r="F30" s="1295"/>
      <c r="G30" s="1295">
        <v>26.98</v>
      </c>
      <c r="H30" s="1295"/>
      <c r="I30" s="1295"/>
      <c r="J30" s="1295"/>
      <c r="K30" s="1295"/>
      <c r="L30" s="463">
        <f t="shared" si="4"/>
        <v>26.98</v>
      </c>
      <c r="M30" s="480">
        <v>55</v>
      </c>
      <c r="N30" s="78"/>
      <c r="O30" s="78">
        <f t="shared" si="15"/>
        <v>1483.9</v>
      </c>
      <c r="P30" s="1070">
        <f t="shared" si="5"/>
        <v>0</v>
      </c>
      <c r="Q30" s="1070">
        <f t="shared" si="6"/>
        <v>0</v>
      </c>
      <c r="R30" s="1070">
        <f t="shared" si="7"/>
        <v>0</v>
      </c>
      <c r="S30" s="1070">
        <f t="shared" si="8"/>
        <v>19.271428571428572</v>
      </c>
      <c r="T30" s="1070">
        <f t="shared" si="9"/>
        <v>0</v>
      </c>
      <c r="U30" s="1070">
        <f t="shared" si="10"/>
        <v>0</v>
      </c>
      <c r="V30" s="1070">
        <f t="shared" si="11"/>
        <v>0</v>
      </c>
      <c r="W30" s="1070">
        <f t="shared" si="12"/>
        <v>0</v>
      </c>
      <c r="X30" s="463">
        <f t="shared" si="13"/>
        <v>19.271428571428572</v>
      </c>
      <c r="Y30" s="78">
        <f t="shared" si="14"/>
        <v>77</v>
      </c>
      <c r="Z30" s="78"/>
      <c r="AA30" s="78">
        <f t="shared" si="16"/>
        <v>1483.9</v>
      </c>
    </row>
    <row r="31" spans="2:27">
      <c r="B31">
        <v>23</v>
      </c>
      <c r="C31" s="1459">
        <v>44561</v>
      </c>
      <c r="D31" s="1070"/>
      <c r="E31" s="1070"/>
      <c r="F31" s="1295"/>
      <c r="G31" s="1295">
        <v>26.58</v>
      </c>
      <c r="H31" s="1295"/>
      <c r="I31" s="1295"/>
      <c r="J31" s="1295"/>
      <c r="K31" s="1295"/>
      <c r="L31" s="463">
        <f t="shared" si="4"/>
        <v>26.58</v>
      </c>
      <c r="M31" s="480">
        <v>55</v>
      </c>
      <c r="N31" s="78"/>
      <c r="O31" s="78">
        <f t="shared" si="15"/>
        <v>1461.8999999999999</v>
      </c>
      <c r="P31" s="1070">
        <f t="shared" si="5"/>
        <v>0</v>
      </c>
      <c r="Q31" s="1070">
        <f t="shared" si="6"/>
        <v>0</v>
      </c>
      <c r="R31" s="1070">
        <f t="shared" si="7"/>
        <v>0</v>
      </c>
      <c r="S31" s="1070">
        <f t="shared" si="8"/>
        <v>18.985714285714284</v>
      </c>
      <c r="T31" s="1070">
        <f t="shared" si="9"/>
        <v>0</v>
      </c>
      <c r="U31" s="1070">
        <f t="shared" si="10"/>
        <v>0</v>
      </c>
      <c r="V31" s="1070">
        <f t="shared" si="11"/>
        <v>0</v>
      </c>
      <c r="W31" s="1070">
        <f t="shared" si="12"/>
        <v>0</v>
      </c>
      <c r="X31" s="463">
        <f t="shared" si="13"/>
        <v>18.985714285714284</v>
      </c>
      <c r="Y31" s="78">
        <f t="shared" si="14"/>
        <v>77</v>
      </c>
      <c r="Z31" s="78"/>
      <c r="AA31" s="78">
        <f t="shared" si="16"/>
        <v>1461.8999999999999</v>
      </c>
    </row>
    <row r="32" spans="2:27">
      <c r="B32">
        <v>24</v>
      </c>
      <c r="C32" s="1459">
        <v>44561</v>
      </c>
      <c r="D32" s="1070"/>
      <c r="E32" s="1070"/>
      <c r="F32" s="1295"/>
      <c r="G32" s="1295">
        <v>26.58</v>
      </c>
      <c r="H32" s="1295"/>
      <c r="I32" s="1295"/>
      <c r="J32" s="1295"/>
      <c r="K32" s="1295"/>
      <c r="L32" s="463">
        <f t="shared" si="4"/>
        <v>26.58</v>
      </c>
      <c r="M32" s="480">
        <v>55</v>
      </c>
      <c r="N32" s="78"/>
      <c r="O32" s="78">
        <f t="shared" si="15"/>
        <v>1461.8999999999999</v>
      </c>
      <c r="P32" s="1070">
        <f t="shared" si="5"/>
        <v>0</v>
      </c>
      <c r="Q32" s="1070">
        <f t="shared" si="6"/>
        <v>0</v>
      </c>
      <c r="R32" s="1070">
        <f t="shared" si="7"/>
        <v>0</v>
      </c>
      <c r="S32" s="1070">
        <f t="shared" si="8"/>
        <v>18.985714285714284</v>
      </c>
      <c r="T32" s="1070">
        <f t="shared" si="9"/>
        <v>0</v>
      </c>
      <c r="U32" s="1070">
        <f t="shared" si="10"/>
        <v>0</v>
      </c>
      <c r="V32" s="1070">
        <f t="shared" si="11"/>
        <v>0</v>
      </c>
      <c r="W32" s="1070">
        <f t="shared" si="12"/>
        <v>0</v>
      </c>
      <c r="X32" s="463">
        <f t="shared" si="13"/>
        <v>18.985714285714284</v>
      </c>
      <c r="Y32" s="78">
        <f t="shared" si="14"/>
        <v>77</v>
      </c>
      <c r="Z32" s="78"/>
      <c r="AA32" s="78">
        <f t="shared" si="16"/>
        <v>1461.8999999999999</v>
      </c>
    </row>
    <row r="33" spans="2:27">
      <c r="B33">
        <v>25</v>
      </c>
      <c r="C33" s="1459">
        <v>44561</v>
      </c>
      <c r="D33" s="1070"/>
      <c r="E33" s="1070"/>
      <c r="F33" s="1295"/>
      <c r="G33" s="1295">
        <v>26.46</v>
      </c>
      <c r="H33" s="1295"/>
      <c r="I33" s="1295"/>
      <c r="J33" s="1295"/>
      <c r="K33" s="1295"/>
      <c r="L33" s="463">
        <f t="shared" si="4"/>
        <v>26.46</v>
      </c>
      <c r="M33" s="480">
        <v>55</v>
      </c>
      <c r="N33" s="78"/>
      <c r="O33" s="78">
        <f t="shared" si="15"/>
        <v>1455.3</v>
      </c>
      <c r="P33" s="1070">
        <f t="shared" si="5"/>
        <v>0</v>
      </c>
      <c r="Q33" s="1070">
        <f t="shared" si="6"/>
        <v>0</v>
      </c>
      <c r="R33" s="1070">
        <f t="shared" si="7"/>
        <v>0</v>
      </c>
      <c r="S33" s="1070">
        <f t="shared" si="8"/>
        <v>18.900000000000002</v>
      </c>
      <c r="T33" s="1070">
        <f t="shared" si="9"/>
        <v>0</v>
      </c>
      <c r="U33" s="1070">
        <f t="shared" si="10"/>
        <v>0</v>
      </c>
      <c r="V33" s="1070">
        <f t="shared" si="11"/>
        <v>0</v>
      </c>
      <c r="W33" s="1070">
        <f t="shared" si="12"/>
        <v>0</v>
      </c>
      <c r="X33" s="463">
        <f t="shared" si="13"/>
        <v>18.900000000000002</v>
      </c>
      <c r="Y33" s="78">
        <f t="shared" si="14"/>
        <v>77</v>
      </c>
      <c r="Z33" s="78"/>
      <c r="AA33" s="78">
        <f t="shared" si="16"/>
        <v>1455.3000000000002</v>
      </c>
    </row>
    <row r="34" spans="2:27">
      <c r="B34">
        <v>26</v>
      </c>
      <c r="C34" s="1459">
        <v>44561</v>
      </c>
      <c r="D34" s="1070"/>
      <c r="E34" s="1070"/>
      <c r="F34" s="1295"/>
      <c r="G34" s="1295">
        <v>25.8</v>
      </c>
      <c r="H34" s="1295"/>
      <c r="I34" s="1295"/>
      <c r="J34" s="1295"/>
      <c r="K34" s="1295"/>
      <c r="L34" s="463">
        <f t="shared" si="4"/>
        <v>25.8</v>
      </c>
      <c r="M34" s="480">
        <v>55</v>
      </c>
      <c r="N34" s="78"/>
      <c r="O34" s="78">
        <f t="shared" si="15"/>
        <v>1419</v>
      </c>
      <c r="P34" s="1070">
        <f t="shared" si="5"/>
        <v>0</v>
      </c>
      <c r="Q34" s="1070">
        <f t="shared" si="6"/>
        <v>0</v>
      </c>
      <c r="R34" s="1070">
        <f t="shared" si="7"/>
        <v>0</v>
      </c>
      <c r="S34" s="1070">
        <f t="shared" si="8"/>
        <v>18.428571428571431</v>
      </c>
      <c r="T34" s="1070">
        <f t="shared" si="9"/>
        <v>0</v>
      </c>
      <c r="U34" s="1070">
        <f t="shared" si="10"/>
        <v>0</v>
      </c>
      <c r="V34" s="1070">
        <f t="shared" si="11"/>
        <v>0</v>
      </c>
      <c r="W34" s="1070">
        <f t="shared" si="12"/>
        <v>0</v>
      </c>
      <c r="X34" s="463">
        <f t="shared" si="13"/>
        <v>18.428571428571431</v>
      </c>
      <c r="Y34" s="78">
        <f t="shared" si="14"/>
        <v>77</v>
      </c>
      <c r="Z34" s="78"/>
      <c r="AA34" s="78">
        <f t="shared" si="16"/>
        <v>1419.0000000000002</v>
      </c>
    </row>
    <row r="35" spans="2:27">
      <c r="B35">
        <v>27</v>
      </c>
      <c r="C35" s="1459">
        <v>44561</v>
      </c>
      <c r="D35" s="1070"/>
      <c r="E35" s="1070"/>
      <c r="F35" s="1295"/>
      <c r="G35" s="1295">
        <v>26.34</v>
      </c>
      <c r="H35" s="1295"/>
      <c r="I35" s="1295"/>
      <c r="J35" s="1295"/>
      <c r="K35" s="1295"/>
      <c r="L35" s="463">
        <f t="shared" si="4"/>
        <v>26.34</v>
      </c>
      <c r="M35" s="480">
        <v>55</v>
      </c>
      <c r="N35" s="78"/>
      <c r="O35" s="78">
        <f t="shared" si="15"/>
        <v>1448.7</v>
      </c>
      <c r="P35" s="1070">
        <f t="shared" si="5"/>
        <v>0</v>
      </c>
      <c r="Q35" s="1070">
        <f t="shared" si="6"/>
        <v>0</v>
      </c>
      <c r="R35" s="1070">
        <f t="shared" si="7"/>
        <v>0</v>
      </c>
      <c r="S35" s="1070">
        <f t="shared" si="8"/>
        <v>18.814285714285717</v>
      </c>
      <c r="T35" s="1070">
        <f t="shared" si="9"/>
        <v>0</v>
      </c>
      <c r="U35" s="1070">
        <f t="shared" si="10"/>
        <v>0</v>
      </c>
      <c r="V35" s="1070">
        <f t="shared" si="11"/>
        <v>0</v>
      </c>
      <c r="W35" s="1070">
        <f t="shared" si="12"/>
        <v>0</v>
      </c>
      <c r="X35" s="463">
        <f t="shared" si="13"/>
        <v>18.814285714285717</v>
      </c>
      <c r="Y35" s="78">
        <f t="shared" si="14"/>
        <v>77</v>
      </c>
      <c r="Z35" s="78"/>
      <c r="AA35" s="78">
        <f t="shared" si="16"/>
        <v>1448.7000000000003</v>
      </c>
    </row>
    <row r="36" spans="2:27">
      <c r="B36">
        <v>28</v>
      </c>
      <c r="C36" s="1459">
        <v>44561</v>
      </c>
      <c r="D36" s="1070"/>
      <c r="E36" s="1070"/>
      <c r="F36" s="1295"/>
      <c r="G36" s="1295">
        <v>26.98</v>
      </c>
      <c r="H36" s="1295"/>
      <c r="I36" s="1295"/>
      <c r="J36" s="1295"/>
      <c r="K36" s="1295"/>
      <c r="L36" s="463">
        <f t="shared" si="4"/>
        <v>26.98</v>
      </c>
      <c r="M36" s="480">
        <v>55</v>
      </c>
      <c r="N36" s="78"/>
      <c r="O36" s="78">
        <f t="shared" si="15"/>
        <v>1483.9</v>
      </c>
      <c r="P36" s="1070">
        <f t="shared" si="5"/>
        <v>0</v>
      </c>
      <c r="Q36" s="1070">
        <f t="shared" si="6"/>
        <v>0</v>
      </c>
      <c r="R36" s="1070">
        <f t="shared" si="7"/>
        <v>0</v>
      </c>
      <c r="S36" s="1070">
        <f t="shared" si="8"/>
        <v>19.271428571428572</v>
      </c>
      <c r="T36" s="1070">
        <f t="shared" si="9"/>
        <v>0</v>
      </c>
      <c r="U36" s="1070">
        <f t="shared" si="10"/>
        <v>0</v>
      </c>
      <c r="V36" s="1070">
        <f t="shared" si="11"/>
        <v>0</v>
      </c>
      <c r="W36" s="1070">
        <f t="shared" si="12"/>
        <v>0</v>
      </c>
      <c r="X36" s="463">
        <f t="shared" si="13"/>
        <v>19.271428571428572</v>
      </c>
      <c r="Y36" s="78">
        <f t="shared" si="14"/>
        <v>77</v>
      </c>
      <c r="Z36" s="78"/>
      <c r="AA36" s="78">
        <f t="shared" si="16"/>
        <v>1483.9</v>
      </c>
    </row>
    <row r="37" spans="2:27">
      <c r="B37">
        <v>29</v>
      </c>
      <c r="C37" s="1459">
        <v>44561</v>
      </c>
      <c r="D37" s="1070"/>
      <c r="E37" s="1070"/>
      <c r="F37" s="1295"/>
      <c r="G37" s="1295">
        <v>26.64</v>
      </c>
      <c r="H37" s="1295"/>
      <c r="I37" s="1295"/>
      <c r="J37" s="1295"/>
      <c r="K37" s="1295"/>
      <c r="L37" s="463">
        <f t="shared" si="4"/>
        <v>26.64</v>
      </c>
      <c r="M37" s="480">
        <v>55</v>
      </c>
      <c r="N37" s="78"/>
      <c r="O37" s="78">
        <f t="shared" si="15"/>
        <v>1465.2</v>
      </c>
      <c r="P37" s="1070">
        <f t="shared" si="5"/>
        <v>0</v>
      </c>
      <c r="Q37" s="1070">
        <f t="shared" si="6"/>
        <v>0</v>
      </c>
      <c r="R37" s="1070">
        <f t="shared" si="7"/>
        <v>0</v>
      </c>
      <c r="S37" s="1070">
        <f t="shared" si="8"/>
        <v>19.028571428571428</v>
      </c>
      <c r="T37" s="1070">
        <f t="shared" si="9"/>
        <v>0</v>
      </c>
      <c r="U37" s="1070">
        <f t="shared" si="10"/>
        <v>0</v>
      </c>
      <c r="V37" s="1070">
        <f t="shared" si="11"/>
        <v>0</v>
      </c>
      <c r="W37" s="1070">
        <f t="shared" si="12"/>
        <v>0</v>
      </c>
      <c r="X37" s="463">
        <f t="shared" si="13"/>
        <v>19.028571428571428</v>
      </c>
      <c r="Y37" s="78">
        <f t="shared" si="14"/>
        <v>77</v>
      </c>
      <c r="Z37" s="78"/>
      <c r="AA37" s="78">
        <f t="shared" si="16"/>
        <v>1465.2</v>
      </c>
    </row>
    <row r="38" spans="2:27">
      <c r="B38">
        <v>30</v>
      </c>
      <c r="C38" s="1459">
        <v>44561</v>
      </c>
      <c r="D38" s="1070"/>
      <c r="E38" s="1070"/>
      <c r="F38" s="1295"/>
      <c r="G38" s="1295">
        <v>25.88</v>
      </c>
      <c r="H38" s="1295"/>
      <c r="I38" s="1295"/>
      <c r="J38" s="1295"/>
      <c r="K38" s="1295"/>
      <c r="L38" s="463">
        <f t="shared" si="4"/>
        <v>25.88</v>
      </c>
      <c r="M38" s="480">
        <v>55</v>
      </c>
      <c r="N38" s="78"/>
      <c r="O38" s="78">
        <f t="shared" si="15"/>
        <v>1423.3999999999999</v>
      </c>
      <c r="P38" s="1070">
        <f t="shared" si="5"/>
        <v>0</v>
      </c>
      <c r="Q38" s="1070">
        <f t="shared" si="6"/>
        <v>0</v>
      </c>
      <c r="R38" s="1070">
        <f t="shared" si="7"/>
        <v>0</v>
      </c>
      <c r="S38" s="1070">
        <f t="shared" si="8"/>
        <v>18.485714285714288</v>
      </c>
      <c r="T38" s="1070">
        <f t="shared" si="9"/>
        <v>0</v>
      </c>
      <c r="U38" s="1070">
        <f t="shared" si="10"/>
        <v>0</v>
      </c>
      <c r="V38" s="1070">
        <f t="shared" si="11"/>
        <v>0</v>
      </c>
      <c r="W38" s="1070">
        <f t="shared" si="12"/>
        <v>0</v>
      </c>
      <c r="X38" s="463">
        <f t="shared" si="13"/>
        <v>18.485714285714288</v>
      </c>
      <c r="Y38" s="78">
        <f t="shared" si="14"/>
        <v>77</v>
      </c>
      <c r="Z38" s="78"/>
      <c r="AA38" s="78">
        <f t="shared" si="16"/>
        <v>1423.4</v>
      </c>
    </row>
    <row r="39" spans="2:27">
      <c r="B39">
        <v>31</v>
      </c>
      <c r="C39" s="1459">
        <v>44561</v>
      </c>
      <c r="D39" s="1070"/>
      <c r="E39" s="1070"/>
      <c r="F39" s="1295"/>
      <c r="G39" s="1295">
        <v>26.16</v>
      </c>
      <c r="H39" s="1295"/>
      <c r="I39" s="1295"/>
      <c r="J39" s="1295"/>
      <c r="K39" s="1295"/>
      <c r="L39" s="463">
        <f t="shared" si="4"/>
        <v>26.16</v>
      </c>
      <c r="M39" s="480">
        <v>55</v>
      </c>
      <c r="N39" s="78"/>
      <c r="O39" s="78">
        <f t="shared" si="15"/>
        <v>1438.8</v>
      </c>
      <c r="P39" s="1070">
        <f t="shared" si="5"/>
        <v>0</v>
      </c>
      <c r="Q39" s="1070">
        <f t="shared" si="6"/>
        <v>0</v>
      </c>
      <c r="R39" s="1070">
        <f t="shared" si="7"/>
        <v>0</v>
      </c>
      <c r="S39" s="1070">
        <f t="shared" si="8"/>
        <v>18.685714285714287</v>
      </c>
      <c r="T39" s="1070">
        <f t="shared" si="9"/>
        <v>0</v>
      </c>
      <c r="U39" s="1070">
        <f t="shared" si="10"/>
        <v>0</v>
      </c>
      <c r="V39" s="1070">
        <f t="shared" si="11"/>
        <v>0</v>
      </c>
      <c r="W39" s="1070">
        <f t="shared" si="12"/>
        <v>0</v>
      </c>
      <c r="X39" s="463">
        <f t="shared" si="13"/>
        <v>18.685714285714287</v>
      </c>
      <c r="Y39" s="78">
        <f t="shared" si="14"/>
        <v>77</v>
      </c>
      <c r="Z39" s="78"/>
      <c r="AA39" s="78">
        <f t="shared" si="16"/>
        <v>1438.8000000000002</v>
      </c>
    </row>
    <row r="40" spans="2:27">
      <c r="B40">
        <v>32</v>
      </c>
      <c r="C40" s="1459">
        <v>44561</v>
      </c>
      <c r="D40" s="1070"/>
      <c r="E40" s="1070"/>
      <c r="F40" s="1295"/>
      <c r="G40" s="1295">
        <v>26.22</v>
      </c>
      <c r="H40" s="1295"/>
      <c r="I40" s="1295"/>
      <c r="J40" s="1295"/>
      <c r="K40" s="1295"/>
      <c r="L40" s="463">
        <f t="shared" si="4"/>
        <v>26.22</v>
      </c>
      <c r="M40" s="480">
        <v>55</v>
      </c>
      <c r="N40" s="78"/>
      <c r="O40" s="78">
        <f t="shared" si="15"/>
        <v>1442.1</v>
      </c>
      <c r="P40" s="1070">
        <f t="shared" si="5"/>
        <v>0</v>
      </c>
      <c r="Q40" s="1070">
        <f t="shared" si="6"/>
        <v>0</v>
      </c>
      <c r="R40" s="1070">
        <f t="shared" si="7"/>
        <v>0</v>
      </c>
      <c r="S40" s="1070">
        <f t="shared" si="8"/>
        <v>18.728571428571428</v>
      </c>
      <c r="T40" s="1070">
        <f t="shared" si="9"/>
        <v>0</v>
      </c>
      <c r="U40" s="1070">
        <f t="shared" si="10"/>
        <v>0</v>
      </c>
      <c r="V40" s="1070">
        <f t="shared" si="11"/>
        <v>0</v>
      </c>
      <c r="W40" s="1070">
        <f t="shared" si="12"/>
        <v>0</v>
      </c>
      <c r="X40" s="463">
        <f t="shared" si="13"/>
        <v>18.728571428571428</v>
      </c>
      <c r="Y40" s="78">
        <f t="shared" si="14"/>
        <v>77</v>
      </c>
      <c r="Z40" s="78"/>
      <c r="AA40" s="78">
        <f t="shared" si="16"/>
        <v>1442.1</v>
      </c>
    </row>
    <row r="41" spans="2:27">
      <c r="B41">
        <v>33</v>
      </c>
      <c r="C41" s="1459">
        <v>44561</v>
      </c>
      <c r="D41" s="1070"/>
      <c r="E41" s="1070"/>
      <c r="F41" s="1295"/>
      <c r="G41" s="1295">
        <v>25.94</v>
      </c>
      <c r="H41" s="1295"/>
      <c r="I41" s="1295"/>
      <c r="J41" s="1295"/>
      <c r="K41" s="1295"/>
      <c r="L41" s="463">
        <f t="shared" si="4"/>
        <v>25.94</v>
      </c>
      <c r="M41" s="480">
        <v>55</v>
      </c>
      <c r="N41" s="78"/>
      <c r="O41" s="78">
        <f t="shared" si="15"/>
        <v>1426.7</v>
      </c>
      <c r="P41" s="1070">
        <f t="shared" si="5"/>
        <v>0</v>
      </c>
      <c r="Q41" s="1070">
        <f t="shared" si="6"/>
        <v>0</v>
      </c>
      <c r="R41" s="1070">
        <f t="shared" si="7"/>
        <v>0</v>
      </c>
      <c r="S41" s="1070">
        <f t="shared" si="8"/>
        <v>18.528571428571432</v>
      </c>
      <c r="T41" s="1070">
        <f t="shared" si="9"/>
        <v>0</v>
      </c>
      <c r="U41" s="1070">
        <f t="shared" si="10"/>
        <v>0</v>
      </c>
      <c r="V41" s="1070">
        <f t="shared" si="11"/>
        <v>0</v>
      </c>
      <c r="W41" s="1070">
        <f t="shared" si="12"/>
        <v>0</v>
      </c>
      <c r="X41" s="463">
        <f t="shared" si="13"/>
        <v>18.528571428571432</v>
      </c>
      <c r="Y41" s="78">
        <f t="shared" si="14"/>
        <v>77</v>
      </c>
      <c r="Z41" s="78"/>
      <c r="AA41" s="78">
        <f t="shared" si="16"/>
        <v>1426.7000000000003</v>
      </c>
    </row>
    <row r="42" spans="2:27">
      <c r="B42">
        <v>34</v>
      </c>
      <c r="C42" s="1459">
        <v>44561</v>
      </c>
      <c r="D42" s="1070"/>
      <c r="E42" s="1070"/>
      <c r="F42" s="1295"/>
      <c r="G42" s="1295">
        <v>26.8</v>
      </c>
      <c r="H42" s="1295"/>
      <c r="I42" s="1295"/>
      <c r="J42" s="1295"/>
      <c r="K42" s="1295"/>
      <c r="L42" s="463">
        <f t="shared" si="4"/>
        <v>26.8</v>
      </c>
      <c r="M42" s="480">
        <v>55</v>
      </c>
      <c r="N42" s="78"/>
      <c r="O42" s="78">
        <f t="shared" si="15"/>
        <v>1474</v>
      </c>
      <c r="P42" s="1070">
        <f t="shared" si="5"/>
        <v>0</v>
      </c>
      <c r="Q42" s="1070">
        <f t="shared" si="6"/>
        <v>0</v>
      </c>
      <c r="R42" s="1070">
        <f t="shared" si="7"/>
        <v>0</v>
      </c>
      <c r="S42" s="1070">
        <f t="shared" si="8"/>
        <v>19.142857142857146</v>
      </c>
      <c r="T42" s="1070">
        <f t="shared" si="9"/>
        <v>0</v>
      </c>
      <c r="U42" s="1070">
        <f t="shared" si="10"/>
        <v>0</v>
      </c>
      <c r="V42" s="1070">
        <f t="shared" si="11"/>
        <v>0</v>
      </c>
      <c r="W42" s="1070">
        <f t="shared" si="12"/>
        <v>0</v>
      </c>
      <c r="X42" s="463">
        <f t="shared" si="13"/>
        <v>19.142857142857146</v>
      </c>
      <c r="Y42" s="78">
        <f t="shared" si="14"/>
        <v>77</v>
      </c>
      <c r="Z42" s="78"/>
      <c r="AA42" s="78">
        <f t="shared" si="16"/>
        <v>1474.0000000000002</v>
      </c>
    </row>
    <row r="43" spans="2:27">
      <c r="B43">
        <v>35</v>
      </c>
      <c r="C43" s="1459">
        <v>44561</v>
      </c>
      <c r="D43" s="1070"/>
      <c r="E43" s="1070"/>
      <c r="F43" s="1295"/>
      <c r="G43" s="1295">
        <v>13.78</v>
      </c>
      <c r="H43" s="1295"/>
      <c r="I43" s="1295"/>
      <c r="J43" s="1295"/>
      <c r="K43" s="1295"/>
      <c r="L43" s="463">
        <f t="shared" si="4"/>
        <v>13.78</v>
      </c>
      <c r="M43" s="480">
        <v>55</v>
      </c>
      <c r="N43" s="78"/>
      <c r="O43" s="78">
        <f t="shared" si="15"/>
        <v>757.9</v>
      </c>
      <c r="P43" s="1070">
        <f t="shared" si="5"/>
        <v>0</v>
      </c>
      <c r="Q43" s="1070">
        <f t="shared" si="6"/>
        <v>0</v>
      </c>
      <c r="R43" s="1070">
        <f t="shared" si="7"/>
        <v>0</v>
      </c>
      <c r="S43" s="1070">
        <f t="shared" si="8"/>
        <v>9.8428571428571434</v>
      </c>
      <c r="T43" s="1070">
        <f t="shared" si="9"/>
        <v>0</v>
      </c>
      <c r="U43" s="1070">
        <f t="shared" si="10"/>
        <v>0</v>
      </c>
      <c r="V43" s="1070">
        <f t="shared" si="11"/>
        <v>0</v>
      </c>
      <c r="W43" s="1070">
        <f t="shared" si="12"/>
        <v>0</v>
      </c>
      <c r="X43" s="463">
        <f t="shared" si="13"/>
        <v>9.8428571428571434</v>
      </c>
      <c r="Y43" s="78">
        <f t="shared" si="14"/>
        <v>77</v>
      </c>
      <c r="Z43" s="78"/>
      <c r="AA43" s="78">
        <f t="shared" si="16"/>
        <v>757.90000000000009</v>
      </c>
    </row>
    <row r="44" spans="2:27">
      <c r="B44">
        <v>36</v>
      </c>
      <c r="C44" s="1459">
        <v>44561</v>
      </c>
      <c r="D44" s="1070"/>
      <c r="E44" s="1070"/>
      <c r="F44" s="1295"/>
      <c r="G44" s="1295">
        <v>7.18</v>
      </c>
      <c r="H44" s="1295"/>
      <c r="I44" s="1295"/>
      <c r="J44" s="1295"/>
      <c r="K44" s="1295"/>
      <c r="L44" s="463">
        <f t="shared" si="4"/>
        <v>7.18</v>
      </c>
      <c r="M44" s="480">
        <v>55</v>
      </c>
      <c r="N44" s="78"/>
      <c r="O44" s="78">
        <f t="shared" si="15"/>
        <v>394.9</v>
      </c>
      <c r="P44" s="1070">
        <f t="shared" si="5"/>
        <v>0</v>
      </c>
      <c r="Q44" s="1070">
        <f t="shared" si="6"/>
        <v>0</v>
      </c>
      <c r="R44" s="1070">
        <f t="shared" si="7"/>
        <v>0</v>
      </c>
      <c r="S44" s="1070">
        <f t="shared" si="8"/>
        <v>5.128571428571429</v>
      </c>
      <c r="T44" s="1070">
        <f t="shared" si="9"/>
        <v>0</v>
      </c>
      <c r="U44" s="1070">
        <f t="shared" si="10"/>
        <v>0</v>
      </c>
      <c r="V44" s="1070">
        <f t="shared" si="11"/>
        <v>0</v>
      </c>
      <c r="W44" s="1070">
        <f t="shared" si="12"/>
        <v>0</v>
      </c>
      <c r="X44" s="463">
        <f t="shared" si="13"/>
        <v>5.128571428571429</v>
      </c>
      <c r="Y44" s="78">
        <f t="shared" si="14"/>
        <v>77</v>
      </c>
      <c r="Z44" s="78"/>
      <c r="AA44" s="78">
        <f t="shared" si="16"/>
        <v>394.90000000000003</v>
      </c>
    </row>
    <row r="45" spans="2:27">
      <c r="B45">
        <v>37</v>
      </c>
      <c r="C45" s="1459">
        <v>44561</v>
      </c>
      <c r="D45" s="1070"/>
      <c r="E45" s="1070"/>
      <c r="F45" s="1295">
        <v>26.24</v>
      </c>
      <c r="G45" s="1295"/>
      <c r="H45" s="1295"/>
      <c r="I45" s="1295"/>
      <c r="J45" s="1295"/>
      <c r="K45" s="1295"/>
      <c r="L45" s="463">
        <f t="shared" si="4"/>
        <v>26.24</v>
      </c>
      <c r="M45" s="480">
        <v>55</v>
      </c>
      <c r="N45" s="78"/>
      <c r="O45" s="78">
        <f t="shared" si="15"/>
        <v>1443.1999999999998</v>
      </c>
      <c r="P45" s="1070">
        <f t="shared" si="5"/>
        <v>0</v>
      </c>
      <c r="Q45" s="1070">
        <f t="shared" si="6"/>
        <v>0</v>
      </c>
      <c r="R45" s="1070">
        <f t="shared" si="7"/>
        <v>18.742857142857144</v>
      </c>
      <c r="S45" s="1070">
        <f t="shared" si="8"/>
        <v>0</v>
      </c>
      <c r="T45" s="1070">
        <f t="shared" si="9"/>
        <v>0</v>
      </c>
      <c r="U45" s="1070">
        <f t="shared" si="10"/>
        <v>0</v>
      </c>
      <c r="V45" s="1070">
        <f t="shared" si="11"/>
        <v>0</v>
      </c>
      <c r="W45" s="1070">
        <f t="shared" si="12"/>
        <v>0</v>
      </c>
      <c r="X45" s="463">
        <f t="shared" si="13"/>
        <v>18.742857142857144</v>
      </c>
      <c r="Y45" s="78">
        <f t="shared" si="14"/>
        <v>77</v>
      </c>
      <c r="Z45" s="78"/>
      <c r="AA45" s="78">
        <f t="shared" si="16"/>
        <v>1443.2</v>
      </c>
    </row>
    <row r="46" spans="2:27">
      <c r="B46">
        <v>38</v>
      </c>
      <c r="C46" s="1459">
        <v>44561</v>
      </c>
      <c r="D46" s="1070"/>
      <c r="E46" s="1070"/>
      <c r="F46" s="1295">
        <v>25.12</v>
      </c>
      <c r="G46" s="1295"/>
      <c r="H46" s="1295"/>
      <c r="I46" s="1295"/>
      <c r="J46" s="1295"/>
      <c r="K46" s="1295"/>
      <c r="L46" s="463">
        <f t="shared" si="4"/>
        <v>25.12</v>
      </c>
      <c r="M46" s="480">
        <v>55</v>
      </c>
      <c r="N46" s="78"/>
      <c r="O46" s="78">
        <f t="shared" si="15"/>
        <v>1381.6000000000001</v>
      </c>
      <c r="P46" s="1070">
        <f t="shared" si="5"/>
        <v>0</v>
      </c>
      <c r="Q46" s="1070">
        <f t="shared" si="6"/>
        <v>0</v>
      </c>
      <c r="R46" s="1070">
        <f t="shared" si="7"/>
        <v>17.942857142857143</v>
      </c>
      <c r="S46" s="1070">
        <f t="shared" si="8"/>
        <v>0</v>
      </c>
      <c r="T46" s="1070">
        <f t="shared" si="9"/>
        <v>0</v>
      </c>
      <c r="U46" s="1070">
        <f t="shared" si="10"/>
        <v>0</v>
      </c>
      <c r="V46" s="1070">
        <f t="shared" si="11"/>
        <v>0</v>
      </c>
      <c r="W46" s="1070">
        <f t="shared" si="12"/>
        <v>0</v>
      </c>
      <c r="X46" s="463">
        <f t="shared" si="13"/>
        <v>17.942857142857143</v>
      </c>
      <c r="Y46" s="78">
        <f t="shared" si="14"/>
        <v>77</v>
      </c>
      <c r="Z46" s="78"/>
      <c r="AA46" s="78">
        <f t="shared" si="16"/>
        <v>1381.6</v>
      </c>
    </row>
    <row r="47" spans="2:27">
      <c r="B47">
        <v>39</v>
      </c>
      <c r="C47" s="1459">
        <v>44561</v>
      </c>
      <c r="D47" s="1070"/>
      <c r="E47" s="1070"/>
      <c r="F47" s="1295"/>
      <c r="G47" s="1295"/>
      <c r="H47" s="1295"/>
      <c r="I47" s="1295"/>
      <c r="J47" s="1295"/>
      <c r="K47" s="1295">
        <v>70</v>
      </c>
      <c r="L47" s="463">
        <f t="shared" si="4"/>
        <v>70</v>
      </c>
      <c r="M47" s="480">
        <v>55</v>
      </c>
      <c r="N47" s="78"/>
      <c r="O47" s="78">
        <f t="shared" si="15"/>
        <v>3850</v>
      </c>
      <c r="P47" s="1070">
        <f t="shared" si="5"/>
        <v>0</v>
      </c>
      <c r="Q47" s="1070">
        <f t="shared" si="6"/>
        <v>0</v>
      </c>
      <c r="R47" s="1070">
        <f t="shared" si="7"/>
        <v>0</v>
      </c>
      <c r="S47" s="1070">
        <f t="shared" si="8"/>
        <v>0</v>
      </c>
      <c r="T47" s="1070">
        <f t="shared" si="9"/>
        <v>0</v>
      </c>
      <c r="U47" s="1070">
        <f t="shared" si="10"/>
        <v>0</v>
      </c>
      <c r="V47" s="1070">
        <f t="shared" si="11"/>
        <v>0</v>
      </c>
      <c r="W47" s="1070">
        <f t="shared" si="12"/>
        <v>50</v>
      </c>
      <c r="X47" s="463">
        <f t="shared" si="13"/>
        <v>50</v>
      </c>
      <c r="Y47" s="78">
        <f t="shared" si="14"/>
        <v>77</v>
      </c>
      <c r="Z47" s="78"/>
      <c r="AA47" s="78">
        <f t="shared" si="16"/>
        <v>3850</v>
      </c>
    </row>
    <row r="48" spans="2:27">
      <c r="B48">
        <v>40</v>
      </c>
      <c r="C48" s="1459">
        <v>44561</v>
      </c>
      <c r="D48" s="1070"/>
      <c r="E48" s="1070"/>
      <c r="F48" s="1295"/>
      <c r="G48" s="1295"/>
      <c r="H48" s="1295"/>
      <c r="I48" s="1295"/>
      <c r="J48" s="1295"/>
      <c r="K48" s="1295">
        <v>70</v>
      </c>
      <c r="L48" s="463">
        <f t="shared" si="4"/>
        <v>70</v>
      </c>
      <c r="M48" s="480">
        <v>55</v>
      </c>
      <c r="N48" s="78"/>
      <c r="O48" s="78">
        <f t="shared" si="15"/>
        <v>3850</v>
      </c>
      <c r="P48" s="1070">
        <f t="shared" si="5"/>
        <v>0</v>
      </c>
      <c r="Q48" s="1070">
        <f t="shared" si="6"/>
        <v>0</v>
      </c>
      <c r="R48" s="1070">
        <f t="shared" si="7"/>
        <v>0</v>
      </c>
      <c r="S48" s="1070">
        <f t="shared" si="8"/>
        <v>0</v>
      </c>
      <c r="T48" s="1070">
        <f t="shared" si="9"/>
        <v>0</v>
      </c>
      <c r="U48" s="1070">
        <f t="shared" si="10"/>
        <v>0</v>
      </c>
      <c r="V48" s="1070">
        <f t="shared" si="11"/>
        <v>0</v>
      </c>
      <c r="W48" s="1070">
        <f t="shared" si="12"/>
        <v>50</v>
      </c>
      <c r="X48" s="463">
        <f t="shared" si="13"/>
        <v>50</v>
      </c>
      <c r="Y48" s="78">
        <f t="shared" si="14"/>
        <v>77</v>
      </c>
      <c r="Z48" s="78"/>
      <c r="AA48" s="78">
        <f t="shared" si="16"/>
        <v>3850</v>
      </c>
    </row>
    <row r="49" spans="2:27">
      <c r="B49">
        <v>41</v>
      </c>
      <c r="C49" s="1459">
        <v>44561</v>
      </c>
      <c r="D49" s="1070"/>
      <c r="E49" s="1070"/>
      <c r="F49" s="1295"/>
      <c r="G49" s="1295"/>
      <c r="H49" s="1295"/>
      <c r="I49" s="1295"/>
      <c r="J49" s="1295"/>
      <c r="K49" s="1295">
        <v>70</v>
      </c>
      <c r="L49" s="463">
        <f t="shared" si="4"/>
        <v>70</v>
      </c>
      <c r="M49" s="480">
        <v>55</v>
      </c>
      <c r="N49" s="78"/>
      <c r="O49" s="78">
        <f t="shared" si="15"/>
        <v>3850</v>
      </c>
      <c r="P49" s="1070">
        <f t="shared" si="5"/>
        <v>0</v>
      </c>
      <c r="Q49" s="1070">
        <f t="shared" si="6"/>
        <v>0</v>
      </c>
      <c r="R49" s="1070">
        <f t="shared" si="7"/>
        <v>0</v>
      </c>
      <c r="S49" s="1070">
        <f t="shared" si="8"/>
        <v>0</v>
      </c>
      <c r="T49" s="1070">
        <f t="shared" si="9"/>
        <v>0</v>
      </c>
      <c r="U49" s="1070">
        <f t="shared" si="10"/>
        <v>0</v>
      </c>
      <c r="V49" s="1070">
        <f t="shared" si="11"/>
        <v>0</v>
      </c>
      <c r="W49" s="1070">
        <f t="shared" si="12"/>
        <v>50</v>
      </c>
      <c r="X49" s="463">
        <f t="shared" si="13"/>
        <v>50</v>
      </c>
      <c r="Y49" s="78">
        <f t="shared" si="14"/>
        <v>77</v>
      </c>
      <c r="Z49" s="78"/>
      <c r="AA49" s="78">
        <f t="shared" si="16"/>
        <v>3850</v>
      </c>
    </row>
    <row r="50" spans="2:27">
      <c r="B50">
        <v>42</v>
      </c>
      <c r="C50" s="1459">
        <v>44926</v>
      </c>
      <c r="D50" s="1070"/>
      <c r="E50" s="1070"/>
      <c r="F50" s="1295"/>
      <c r="G50" s="1295"/>
      <c r="H50" s="1295"/>
      <c r="I50" s="1295"/>
      <c r="J50" s="1295"/>
      <c r="K50" s="1461"/>
      <c r="L50" s="1462">
        <f t="shared" si="4"/>
        <v>0</v>
      </c>
      <c r="M50" s="78"/>
      <c r="N50" s="78"/>
      <c r="O50" s="78">
        <f t="shared" si="15"/>
        <v>0</v>
      </c>
      <c r="P50" s="1070">
        <f t="shared" si="5"/>
        <v>0</v>
      </c>
      <c r="Q50" s="1070">
        <f t="shared" si="6"/>
        <v>0</v>
      </c>
      <c r="R50" s="1070">
        <f t="shared" si="7"/>
        <v>0</v>
      </c>
      <c r="S50" s="1070">
        <f t="shared" si="8"/>
        <v>0</v>
      </c>
      <c r="T50" s="1070">
        <f t="shared" si="9"/>
        <v>0</v>
      </c>
      <c r="U50" s="1070">
        <f t="shared" si="10"/>
        <v>0</v>
      </c>
      <c r="V50" s="1070">
        <f t="shared" si="11"/>
        <v>0</v>
      </c>
      <c r="W50" s="1296">
        <f t="shared" si="12"/>
        <v>0</v>
      </c>
      <c r="X50" s="1462">
        <f t="shared" si="13"/>
        <v>0</v>
      </c>
      <c r="Y50" s="78">
        <f t="shared" si="14"/>
        <v>0</v>
      </c>
      <c r="Z50" s="78"/>
      <c r="AA50" s="78">
        <f t="shared" si="16"/>
        <v>0</v>
      </c>
    </row>
    <row r="51" spans="2:27">
      <c r="B51">
        <v>43</v>
      </c>
      <c r="C51" s="1459">
        <v>44926</v>
      </c>
      <c r="D51" s="1070"/>
      <c r="E51" s="1070"/>
      <c r="F51" s="1295"/>
      <c r="G51" s="1295"/>
      <c r="H51" s="1295"/>
      <c r="I51" s="1295"/>
      <c r="J51" s="1295"/>
      <c r="K51" s="1461"/>
      <c r="L51" s="1462">
        <f t="shared" si="4"/>
        <v>0</v>
      </c>
      <c r="M51" s="78"/>
      <c r="N51" s="78"/>
      <c r="O51" s="78">
        <f t="shared" si="15"/>
        <v>0</v>
      </c>
      <c r="P51" s="1070">
        <f t="shared" si="5"/>
        <v>0</v>
      </c>
      <c r="Q51" s="1070">
        <f t="shared" si="6"/>
        <v>0</v>
      </c>
      <c r="R51" s="1070">
        <f t="shared" si="7"/>
        <v>0</v>
      </c>
      <c r="S51" s="1070">
        <f t="shared" si="8"/>
        <v>0</v>
      </c>
      <c r="T51" s="1070">
        <f t="shared" si="9"/>
        <v>0</v>
      </c>
      <c r="U51" s="1070">
        <f t="shared" si="10"/>
        <v>0</v>
      </c>
      <c r="V51" s="1070">
        <f t="shared" si="11"/>
        <v>0</v>
      </c>
      <c r="W51" s="1296">
        <f t="shared" si="12"/>
        <v>0</v>
      </c>
      <c r="X51" s="1462">
        <f t="shared" si="13"/>
        <v>0</v>
      </c>
      <c r="Y51" s="78">
        <f t="shared" si="14"/>
        <v>0</v>
      </c>
      <c r="Z51" s="78"/>
      <c r="AA51" s="78">
        <f t="shared" si="16"/>
        <v>0</v>
      </c>
    </row>
    <row r="52" spans="2:27">
      <c r="B52">
        <v>44</v>
      </c>
      <c r="C52" s="1459">
        <v>44926</v>
      </c>
      <c r="D52" s="1070"/>
      <c r="E52" s="1070"/>
      <c r="F52" s="1295"/>
      <c r="G52" s="1295"/>
      <c r="H52" s="1295"/>
      <c r="I52" s="1295"/>
      <c r="J52" s="1295"/>
      <c r="K52" s="1461"/>
      <c r="L52" s="1462">
        <f t="shared" si="4"/>
        <v>0</v>
      </c>
      <c r="M52" s="78"/>
      <c r="N52" s="78"/>
      <c r="O52" s="78">
        <f t="shared" si="15"/>
        <v>0</v>
      </c>
      <c r="P52" s="1070">
        <f t="shared" si="5"/>
        <v>0</v>
      </c>
      <c r="Q52" s="1070">
        <f t="shared" si="6"/>
        <v>0</v>
      </c>
      <c r="R52" s="1070">
        <f t="shared" si="7"/>
        <v>0</v>
      </c>
      <c r="S52" s="1070">
        <f t="shared" si="8"/>
        <v>0</v>
      </c>
      <c r="T52" s="1070">
        <f t="shared" si="9"/>
        <v>0</v>
      </c>
      <c r="U52" s="1070">
        <f t="shared" si="10"/>
        <v>0</v>
      </c>
      <c r="V52" s="1070">
        <f t="shared" si="11"/>
        <v>0</v>
      </c>
      <c r="W52" s="1296">
        <f t="shared" si="12"/>
        <v>0</v>
      </c>
      <c r="X52" s="1462">
        <f t="shared" si="13"/>
        <v>0</v>
      </c>
      <c r="Y52" s="78">
        <f t="shared" si="14"/>
        <v>0</v>
      </c>
      <c r="Z52" s="78"/>
      <c r="AA52" s="78">
        <f t="shared" si="16"/>
        <v>0</v>
      </c>
    </row>
    <row r="53" spans="2:27">
      <c r="B53">
        <v>45</v>
      </c>
      <c r="C53" s="1459">
        <v>44926</v>
      </c>
      <c r="D53" s="1070"/>
      <c r="E53" s="1070"/>
      <c r="F53" s="1295"/>
      <c r="G53" s="1295"/>
      <c r="H53" s="1295"/>
      <c r="I53" s="1295"/>
      <c r="J53" s="1295"/>
      <c r="K53" s="1461"/>
      <c r="L53" s="1462">
        <f t="shared" si="4"/>
        <v>0</v>
      </c>
      <c r="M53" s="78"/>
      <c r="N53" s="78"/>
      <c r="O53" s="78">
        <f t="shared" si="15"/>
        <v>0</v>
      </c>
      <c r="P53" s="1070">
        <f t="shared" si="5"/>
        <v>0</v>
      </c>
      <c r="Q53" s="1070">
        <f t="shared" si="6"/>
        <v>0</v>
      </c>
      <c r="R53" s="1070">
        <f t="shared" si="7"/>
        <v>0</v>
      </c>
      <c r="S53" s="1070">
        <f t="shared" si="8"/>
        <v>0</v>
      </c>
      <c r="T53" s="1070">
        <f t="shared" si="9"/>
        <v>0</v>
      </c>
      <c r="U53" s="1070">
        <f t="shared" si="10"/>
        <v>0</v>
      </c>
      <c r="V53" s="1070">
        <f t="shared" si="11"/>
        <v>0</v>
      </c>
      <c r="W53" s="1296">
        <f t="shared" si="12"/>
        <v>0</v>
      </c>
      <c r="X53" s="1462">
        <f t="shared" si="13"/>
        <v>0</v>
      </c>
      <c r="Y53" s="78">
        <f t="shared" si="14"/>
        <v>0</v>
      </c>
      <c r="Z53" s="78"/>
      <c r="AA53" s="78">
        <f t="shared" si="16"/>
        <v>0</v>
      </c>
    </row>
    <row r="54" spans="2:27">
      <c r="B54">
        <v>46</v>
      </c>
      <c r="C54" s="1459">
        <v>44926</v>
      </c>
      <c r="D54" s="1070"/>
      <c r="E54" s="1070"/>
      <c r="F54" s="1295"/>
      <c r="G54" s="1295"/>
      <c r="H54" s="1295"/>
      <c r="I54" s="1295"/>
      <c r="J54" s="1295"/>
      <c r="K54" s="1461"/>
      <c r="L54" s="1462">
        <f t="shared" si="4"/>
        <v>0</v>
      </c>
      <c r="M54" s="78"/>
      <c r="N54" s="78"/>
      <c r="O54" s="78">
        <f t="shared" si="15"/>
        <v>0</v>
      </c>
      <c r="P54" s="1070">
        <f t="shared" si="5"/>
        <v>0</v>
      </c>
      <c r="Q54" s="1070">
        <f t="shared" si="6"/>
        <v>0</v>
      </c>
      <c r="R54" s="1070">
        <f t="shared" si="7"/>
        <v>0</v>
      </c>
      <c r="S54" s="1070">
        <f t="shared" si="8"/>
        <v>0</v>
      </c>
      <c r="T54" s="1070">
        <f t="shared" si="9"/>
        <v>0</v>
      </c>
      <c r="U54" s="1070">
        <f t="shared" si="10"/>
        <v>0</v>
      </c>
      <c r="V54" s="1070">
        <f t="shared" si="11"/>
        <v>0</v>
      </c>
      <c r="W54" s="1296">
        <f t="shared" si="12"/>
        <v>0</v>
      </c>
      <c r="X54" s="1462">
        <f t="shared" si="13"/>
        <v>0</v>
      </c>
      <c r="Y54" s="78">
        <f t="shared" si="14"/>
        <v>0</v>
      </c>
      <c r="Z54" s="78"/>
      <c r="AA54" s="78">
        <f t="shared" si="16"/>
        <v>0</v>
      </c>
    </row>
    <row r="55" spans="2:27">
      <c r="B55">
        <v>47</v>
      </c>
      <c r="C55" s="1459">
        <v>44926</v>
      </c>
      <c r="D55" s="1070"/>
      <c r="E55" s="1070"/>
      <c r="F55" s="1295"/>
      <c r="G55" s="1295"/>
      <c r="H55" s="1295"/>
      <c r="I55" s="1295"/>
      <c r="J55" s="1295"/>
      <c r="K55" s="1461"/>
      <c r="L55" s="1462">
        <f t="shared" si="4"/>
        <v>0</v>
      </c>
      <c r="M55" s="78"/>
      <c r="N55" s="78"/>
      <c r="O55" s="78">
        <f t="shared" si="15"/>
        <v>0</v>
      </c>
      <c r="P55" s="1070">
        <f t="shared" si="5"/>
        <v>0</v>
      </c>
      <c r="Q55" s="1070">
        <f t="shared" si="6"/>
        <v>0</v>
      </c>
      <c r="R55" s="1070">
        <f t="shared" si="7"/>
        <v>0</v>
      </c>
      <c r="S55" s="1070">
        <f t="shared" si="8"/>
        <v>0</v>
      </c>
      <c r="T55" s="1070">
        <f t="shared" si="9"/>
        <v>0</v>
      </c>
      <c r="U55" s="1070">
        <f t="shared" si="10"/>
        <v>0</v>
      </c>
      <c r="V55" s="1070">
        <f t="shared" si="11"/>
        <v>0</v>
      </c>
      <c r="W55" s="1296">
        <f t="shared" si="12"/>
        <v>0</v>
      </c>
      <c r="X55" s="1462">
        <f t="shared" si="13"/>
        <v>0</v>
      </c>
      <c r="Y55" s="78">
        <f t="shared" si="14"/>
        <v>0</v>
      </c>
      <c r="Z55" s="78"/>
      <c r="AA55" s="78">
        <f t="shared" si="16"/>
        <v>0</v>
      </c>
    </row>
    <row r="56" spans="2:27">
      <c r="B56">
        <v>48</v>
      </c>
      <c r="C56" s="1459">
        <v>44926</v>
      </c>
      <c r="D56" s="1070"/>
      <c r="E56" s="1070"/>
      <c r="F56" s="1295"/>
      <c r="G56" s="1295"/>
      <c r="H56" s="1295"/>
      <c r="I56" s="1295"/>
      <c r="J56" s="1295"/>
      <c r="K56" s="1461"/>
      <c r="L56" s="1462">
        <f t="shared" si="4"/>
        <v>0</v>
      </c>
      <c r="M56" s="78"/>
      <c r="N56" s="78"/>
      <c r="O56" s="78">
        <f t="shared" si="15"/>
        <v>0</v>
      </c>
      <c r="P56" s="1070">
        <f t="shared" si="5"/>
        <v>0</v>
      </c>
      <c r="Q56" s="1070">
        <f t="shared" si="6"/>
        <v>0</v>
      </c>
      <c r="R56" s="1070">
        <f t="shared" si="7"/>
        <v>0</v>
      </c>
      <c r="S56" s="1070">
        <f t="shared" si="8"/>
        <v>0</v>
      </c>
      <c r="T56" s="1070">
        <f t="shared" si="9"/>
        <v>0</v>
      </c>
      <c r="U56" s="1070">
        <f t="shared" si="10"/>
        <v>0</v>
      </c>
      <c r="V56" s="1070">
        <f t="shared" si="11"/>
        <v>0</v>
      </c>
      <c r="W56" s="1296">
        <f t="shared" si="12"/>
        <v>0</v>
      </c>
      <c r="X56" s="1462">
        <f t="shared" si="13"/>
        <v>0</v>
      </c>
      <c r="Y56" s="78">
        <f t="shared" si="14"/>
        <v>0</v>
      </c>
      <c r="Z56" s="78"/>
      <c r="AA56" s="78">
        <f t="shared" si="16"/>
        <v>0</v>
      </c>
    </row>
    <row r="57" spans="2:27">
      <c r="B57">
        <v>49</v>
      </c>
      <c r="C57" s="1459">
        <v>44926</v>
      </c>
      <c r="D57" s="1070"/>
      <c r="E57" s="1070"/>
      <c r="F57" s="1295"/>
      <c r="G57" s="1295"/>
      <c r="H57" s="1295"/>
      <c r="I57" s="1295"/>
      <c r="J57" s="1295"/>
      <c r="K57" s="1461"/>
      <c r="L57" s="1462">
        <f t="shared" si="4"/>
        <v>0</v>
      </c>
      <c r="M57" s="78"/>
      <c r="N57" s="78"/>
      <c r="O57" s="78">
        <f t="shared" si="15"/>
        <v>0</v>
      </c>
      <c r="P57" s="1070">
        <f t="shared" si="5"/>
        <v>0</v>
      </c>
      <c r="Q57" s="1070">
        <f t="shared" si="6"/>
        <v>0</v>
      </c>
      <c r="R57" s="1070">
        <f t="shared" si="7"/>
        <v>0</v>
      </c>
      <c r="S57" s="1070">
        <f t="shared" si="8"/>
        <v>0</v>
      </c>
      <c r="T57" s="1070">
        <f t="shared" si="9"/>
        <v>0</v>
      </c>
      <c r="U57" s="1070">
        <f t="shared" si="10"/>
        <v>0</v>
      </c>
      <c r="V57" s="1070">
        <f t="shared" si="11"/>
        <v>0</v>
      </c>
      <c r="W57" s="1296">
        <f t="shared" si="12"/>
        <v>0</v>
      </c>
      <c r="X57" s="1462">
        <f t="shared" si="13"/>
        <v>0</v>
      </c>
      <c r="Y57" s="78">
        <f t="shared" si="14"/>
        <v>0</v>
      </c>
      <c r="Z57" s="78"/>
      <c r="AA57" s="78">
        <f t="shared" si="16"/>
        <v>0</v>
      </c>
    </row>
    <row r="58" spans="2:27">
      <c r="B58">
        <v>50</v>
      </c>
      <c r="C58" s="1459">
        <v>44926</v>
      </c>
      <c r="D58" s="1070"/>
      <c r="E58" s="1070"/>
      <c r="F58" s="1295"/>
      <c r="G58" s="1295"/>
      <c r="H58" s="1295"/>
      <c r="I58" s="1295"/>
      <c r="J58" s="1295"/>
      <c r="K58" s="1461"/>
      <c r="L58" s="1462">
        <f t="shared" si="4"/>
        <v>0</v>
      </c>
      <c r="M58" s="78"/>
      <c r="N58" s="78"/>
      <c r="O58" s="78">
        <f t="shared" si="15"/>
        <v>0</v>
      </c>
      <c r="P58" s="1070">
        <f t="shared" si="5"/>
        <v>0</v>
      </c>
      <c r="Q58" s="1070">
        <f t="shared" si="6"/>
        <v>0</v>
      </c>
      <c r="R58" s="1070">
        <f t="shared" si="7"/>
        <v>0</v>
      </c>
      <c r="S58" s="1070">
        <f t="shared" si="8"/>
        <v>0</v>
      </c>
      <c r="T58" s="1070">
        <f t="shared" si="9"/>
        <v>0</v>
      </c>
      <c r="U58" s="1070">
        <f t="shared" si="10"/>
        <v>0</v>
      </c>
      <c r="V58" s="1070">
        <f t="shared" si="11"/>
        <v>0</v>
      </c>
      <c r="W58" s="1296">
        <f t="shared" si="12"/>
        <v>0</v>
      </c>
      <c r="X58" s="1462">
        <f t="shared" si="13"/>
        <v>0</v>
      </c>
      <c r="Y58" s="78">
        <f t="shared" si="14"/>
        <v>0</v>
      </c>
      <c r="Z58" s="78"/>
      <c r="AA58" s="78">
        <f t="shared" si="16"/>
        <v>0</v>
      </c>
    </row>
    <row r="59" spans="2:27">
      <c r="B59">
        <v>51</v>
      </c>
      <c r="C59" s="1459">
        <v>44926</v>
      </c>
      <c r="D59" s="1070"/>
      <c r="E59" s="1070"/>
      <c r="F59" s="1295"/>
      <c r="G59" s="1295"/>
      <c r="H59" s="1295"/>
      <c r="I59" s="1295"/>
      <c r="J59" s="1295"/>
      <c r="K59" s="1461"/>
      <c r="L59" s="1462">
        <f t="shared" si="4"/>
        <v>0</v>
      </c>
      <c r="M59" s="78"/>
      <c r="N59" s="78"/>
      <c r="O59" s="78">
        <f t="shared" si="15"/>
        <v>0</v>
      </c>
      <c r="P59" s="1070">
        <f t="shared" si="5"/>
        <v>0</v>
      </c>
      <c r="Q59" s="1070">
        <f t="shared" si="6"/>
        <v>0</v>
      </c>
      <c r="R59" s="1070">
        <f t="shared" si="7"/>
        <v>0</v>
      </c>
      <c r="S59" s="1070">
        <f t="shared" si="8"/>
        <v>0</v>
      </c>
      <c r="T59" s="1070">
        <f t="shared" si="9"/>
        <v>0</v>
      </c>
      <c r="U59" s="1070">
        <f t="shared" si="10"/>
        <v>0</v>
      </c>
      <c r="V59" s="1070">
        <f t="shared" si="11"/>
        <v>0</v>
      </c>
      <c r="W59" s="1296">
        <f t="shared" si="12"/>
        <v>0</v>
      </c>
      <c r="X59" s="1462">
        <f t="shared" si="13"/>
        <v>0</v>
      </c>
      <c r="Y59" s="78">
        <f t="shared" si="14"/>
        <v>0</v>
      </c>
      <c r="Z59" s="78"/>
      <c r="AA59" s="78">
        <f t="shared" si="16"/>
        <v>0</v>
      </c>
    </row>
    <row r="60" spans="2:27">
      <c r="B60">
        <v>52</v>
      </c>
      <c r="C60" s="1459">
        <v>44926</v>
      </c>
      <c r="D60" s="1070"/>
      <c r="E60" s="1070"/>
      <c r="F60" s="1295"/>
      <c r="G60" s="1295"/>
      <c r="H60" s="1295"/>
      <c r="I60" s="1295"/>
      <c r="J60" s="1295"/>
      <c r="K60" s="1461"/>
      <c r="L60" s="1462">
        <f t="shared" si="4"/>
        <v>0</v>
      </c>
      <c r="M60" s="78"/>
      <c r="N60" s="78"/>
      <c r="O60" s="78">
        <f t="shared" si="15"/>
        <v>0</v>
      </c>
      <c r="P60" s="1070">
        <f t="shared" si="5"/>
        <v>0</v>
      </c>
      <c r="Q60" s="1070">
        <f t="shared" si="6"/>
        <v>0</v>
      </c>
      <c r="R60" s="1070">
        <f t="shared" si="7"/>
        <v>0</v>
      </c>
      <c r="S60" s="1070">
        <f t="shared" si="8"/>
        <v>0</v>
      </c>
      <c r="T60" s="1070">
        <f t="shared" si="9"/>
        <v>0</v>
      </c>
      <c r="U60" s="1070">
        <f t="shared" si="10"/>
        <v>0</v>
      </c>
      <c r="V60" s="1070">
        <f t="shared" si="11"/>
        <v>0</v>
      </c>
      <c r="W60" s="1296">
        <f t="shared" si="12"/>
        <v>0</v>
      </c>
      <c r="X60" s="1462">
        <f t="shared" si="13"/>
        <v>0</v>
      </c>
      <c r="Y60" s="78">
        <f t="shared" si="14"/>
        <v>0</v>
      </c>
      <c r="Z60" s="78"/>
      <c r="AA60" s="78">
        <f t="shared" si="16"/>
        <v>0</v>
      </c>
    </row>
    <row r="61" spans="2:27">
      <c r="B61">
        <v>53</v>
      </c>
      <c r="C61" s="1459">
        <v>44926</v>
      </c>
      <c r="D61" s="1070"/>
      <c r="E61" s="1070"/>
      <c r="F61" s="1295"/>
      <c r="G61" s="1295"/>
      <c r="H61" s="1295"/>
      <c r="I61" s="1295"/>
      <c r="J61" s="1295"/>
      <c r="K61" s="1461"/>
      <c r="L61" s="1462">
        <f t="shared" si="4"/>
        <v>0</v>
      </c>
      <c r="M61" s="78"/>
      <c r="N61" s="78"/>
      <c r="O61" s="78">
        <f t="shared" si="15"/>
        <v>0</v>
      </c>
      <c r="P61" s="1070">
        <f t="shared" si="5"/>
        <v>0</v>
      </c>
      <c r="Q61" s="1070">
        <f t="shared" si="6"/>
        <v>0</v>
      </c>
      <c r="R61" s="1070">
        <f t="shared" si="7"/>
        <v>0</v>
      </c>
      <c r="S61" s="1070">
        <f t="shared" si="8"/>
        <v>0</v>
      </c>
      <c r="T61" s="1070">
        <f t="shared" si="9"/>
        <v>0</v>
      </c>
      <c r="U61" s="1070">
        <f t="shared" si="10"/>
        <v>0</v>
      </c>
      <c r="V61" s="1070">
        <f t="shared" si="11"/>
        <v>0</v>
      </c>
      <c r="W61" s="1296">
        <f t="shared" si="12"/>
        <v>0</v>
      </c>
      <c r="X61" s="1462">
        <f t="shared" si="13"/>
        <v>0</v>
      </c>
      <c r="Y61" s="78">
        <f t="shared" si="14"/>
        <v>0</v>
      </c>
      <c r="Z61" s="78"/>
      <c r="AA61" s="78">
        <f t="shared" si="16"/>
        <v>0</v>
      </c>
    </row>
    <row r="62" spans="2:27">
      <c r="B62">
        <v>54</v>
      </c>
      <c r="C62" s="1459">
        <v>44926</v>
      </c>
      <c r="D62" s="1070"/>
      <c r="E62" s="1070"/>
      <c r="F62" s="1295"/>
      <c r="G62" s="1295"/>
      <c r="H62" s="1295"/>
      <c r="I62" s="1295"/>
      <c r="J62" s="1295"/>
      <c r="K62" s="1461"/>
      <c r="L62" s="1462">
        <f t="shared" si="4"/>
        <v>0</v>
      </c>
      <c r="M62" s="78"/>
      <c r="N62" s="78"/>
      <c r="O62" s="78">
        <f t="shared" si="15"/>
        <v>0</v>
      </c>
      <c r="P62" s="1070">
        <f t="shared" si="5"/>
        <v>0</v>
      </c>
      <c r="Q62" s="1070">
        <f t="shared" si="6"/>
        <v>0</v>
      </c>
      <c r="R62" s="1070">
        <f t="shared" si="7"/>
        <v>0</v>
      </c>
      <c r="S62" s="1070">
        <f t="shared" si="8"/>
        <v>0</v>
      </c>
      <c r="T62" s="1070">
        <f t="shared" si="9"/>
        <v>0</v>
      </c>
      <c r="U62" s="1070">
        <f t="shared" si="10"/>
        <v>0</v>
      </c>
      <c r="V62" s="1070">
        <f t="shared" si="11"/>
        <v>0</v>
      </c>
      <c r="W62" s="1296">
        <f t="shared" si="12"/>
        <v>0</v>
      </c>
      <c r="X62" s="1462">
        <f t="shared" si="13"/>
        <v>0</v>
      </c>
      <c r="Y62" s="78">
        <f t="shared" si="14"/>
        <v>0</v>
      </c>
      <c r="Z62" s="78"/>
      <c r="AA62" s="78">
        <f t="shared" si="16"/>
        <v>0</v>
      </c>
    </row>
    <row r="63" spans="2:27">
      <c r="B63">
        <v>55</v>
      </c>
      <c r="C63" s="1459">
        <v>44926</v>
      </c>
      <c r="D63" s="1070"/>
      <c r="E63" s="1070"/>
      <c r="F63" s="1295"/>
      <c r="G63" s="1295"/>
      <c r="H63" s="1295"/>
      <c r="I63" s="1295"/>
      <c r="J63" s="1295"/>
      <c r="K63" s="1461"/>
      <c r="L63" s="1462">
        <f t="shared" si="4"/>
        <v>0</v>
      </c>
      <c r="M63" s="78"/>
      <c r="N63" s="78"/>
      <c r="O63" s="78">
        <f t="shared" si="15"/>
        <v>0</v>
      </c>
      <c r="P63" s="1070">
        <f t="shared" si="5"/>
        <v>0</v>
      </c>
      <c r="Q63" s="1070">
        <f t="shared" si="6"/>
        <v>0</v>
      </c>
      <c r="R63" s="1070">
        <f t="shared" si="7"/>
        <v>0</v>
      </c>
      <c r="S63" s="1070">
        <f t="shared" si="8"/>
        <v>0</v>
      </c>
      <c r="T63" s="1070">
        <f t="shared" si="9"/>
        <v>0</v>
      </c>
      <c r="U63" s="1070">
        <f t="shared" si="10"/>
        <v>0</v>
      </c>
      <c r="V63" s="1070">
        <f t="shared" si="11"/>
        <v>0</v>
      </c>
      <c r="W63" s="1296">
        <f t="shared" si="12"/>
        <v>0</v>
      </c>
      <c r="X63" s="1462">
        <f t="shared" si="13"/>
        <v>0</v>
      </c>
      <c r="Y63" s="78">
        <f t="shared" si="14"/>
        <v>0</v>
      </c>
      <c r="Z63" s="78"/>
      <c r="AA63" s="78">
        <f t="shared" si="16"/>
        <v>0</v>
      </c>
    </row>
    <row r="64" spans="2:27">
      <c r="B64">
        <v>56</v>
      </c>
      <c r="C64" s="1459">
        <v>44926</v>
      </c>
      <c r="D64" s="1070"/>
      <c r="E64" s="1070"/>
      <c r="F64" s="1295"/>
      <c r="G64" s="1295"/>
      <c r="H64" s="1295"/>
      <c r="I64" s="1295"/>
      <c r="J64" s="1295"/>
      <c r="K64" s="1461"/>
      <c r="L64" s="1462">
        <f t="shared" si="4"/>
        <v>0</v>
      </c>
      <c r="M64" s="78"/>
      <c r="N64" s="78"/>
      <c r="O64" s="78">
        <f t="shared" si="15"/>
        <v>0</v>
      </c>
      <c r="P64" s="1070">
        <f t="shared" si="5"/>
        <v>0</v>
      </c>
      <c r="Q64" s="1070">
        <f t="shared" si="6"/>
        <v>0</v>
      </c>
      <c r="R64" s="1070">
        <f t="shared" si="7"/>
        <v>0</v>
      </c>
      <c r="S64" s="1070">
        <f t="shared" si="8"/>
        <v>0</v>
      </c>
      <c r="T64" s="1070">
        <f t="shared" si="9"/>
        <v>0</v>
      </c>
      <c r="U64" s="1070">
        <f t="shared" si="10"/>
        <v>0</v>
      </c>
      <c r="V64" s="1070">
        <f t="shared" si="11"/>
        <v>0</v>
      </c>
      <c r="W64" s="1296">
        <f t="shared" si="12"/>
        <v>0</v>
      </c>
      <c r="X64" s="1462">
        <f t="shared" si="13"/>
        <v>0</v>
      </c>
      <c r="Y64" s="78">
        <f t="shared" si="14"/>
        <v>0</v>
      </c>
      <c r="Z64" s="78"/>
      <c r="AA64" s="78">
        <f t="shared" si="16"/>
        <v>0</v>
      </c>
    </row>
    <row r="65" spans="2:27">
      <c r="B65">
        <v>57</v>
      </c>
      <c r="C65" s="1459">
        <v>44926</v>
      </c>
      <c r="D65" s="1070"/>
      <c r="E65" s="1070"/>
      <c r="F65" s="1295"/>
      <c r="G65" s="1295"/>
      <c r="H65" s="1295"/>
      <c r="I65" s="1295"/>
      <c r="J65" s="1295"/>
      <c r="K65" s="1461"/>
      <c r="L65" s="1462">
        <f t="shared" si="4"/>
        <v>0</v>
      </c>
      <c r="M65" s="78"/>
      <c r="N65" s="78"/>
      <c r="O65" s="78">
        <f t="shared" si="15"/>
        <v>0</v>
      </c>
      <c r="P65" s="1070">
        <f t="shared" si="5"/>
        <v>0</v>
      </c>
      <c r="Q65" s="1070">
        <f t="shared" si="6"/>
        <v>0</v>
      </c>
      <c r="R65" s="1070">
        <f t="shared" si="7"/>
        <v>0</v>
      </c>
      <c r="S65" s="1070">
        <f t="shared" si="8"/>
        <v>0</v>
      </c>
      <c r="T65" s="1070">
        <f t="shared" si="9"/>
        <v>0</v>
      </c>
      <c r="U65" s="1070">
        <f t="shared" si="10"/>
        <v>0</v>
      </c>
      <c r="V65" s="1070">
        <f t="shared" si="11"/>
        <v>0</v>
      </c>
      <c r="W65" s="1296">
        <f t="shared" si="12"/>
        <v>0</v>
      </c>
      <c r="X65" s="1462">
        <f t="shared" si="13"/>
        <v>0</v>
      </c>
      <c r="Y65" s="78">
        <f t="shared" si="14"/>
        <v>0</v>
      </c>
      <c r="Z65" s="78"/>
      <c r="AA65" s="78">
        <f t="shared" si="16"/>
        <v>0</v>
      </c>
    </row>
    <row r="66" spans="2:27">
      <c r="B66">
        <v>58</v>
      </c>
      <c r="C66" s="1459">
        <v>44926</v>
      </c>
      <c r="D66" s="1070"/>
      <c r="E66" s="1070"/>
      <c r="F66" s="1295"/>
      <c r="G66" s="1295"/>
      <c r="H66" s="1295"/>
      <c r="I66" s="1295"/>
      <c r="J66" s="1295"/>
      <c r="K66" s="1461"/>
      <c r="L66" s="1462">
        <f t="shared" si="4"/>
        <v>0</v>
      </c>
      <c r="M66" s="78"/>
      <c r="N66" s="78"/>
      <c r="O66" s="78">
        <f t="shared" si="15"/>
        <v>0</v>
      </c>
      <c r="P66" s="1070">
        <f t="shared" si="5"/>
        <v>0</v>
      </c>
      <c r="Q66" s="1070">
        <f t="shared" si="6"/>
        <v>0</v>
      </c>
      <c r="R66" s="1070">
        <f t="shared" si="7"/>
        <v>0</v>
      </c>
      <c r="S66" s="1070">
        <f t="shared" si="8"/>
        <v>0</v>
      </c>
      <c r="T66" s="1070">
        <f t="shared" si="9"/>
        <v>0</v>
      </c>
      <c r="U66" s="1070">
        <f t="shared" si="10"/>
        <v>0</v>
      </c>
      <c r="V66" s="1070">
        <f t="shared" si="11"/>
        <v>0</v>
      </c>
      <c r="W66" s="1296">
        <f t="shared" si="12"/>
        <v>0</v>
      </c>
      <c r="X66" s="1462">
        <f t="shared" si="13"/>
        <v>0</v>
      </c>
      <c r="Y66" s="78">
        <f t="shared" si="14"/>
        <v>0</v>
      </c>
      <c r="Z66" s="78"/>
      <c r="AA66" s="78">
        <f t="shared" si="16"/>
        <v>0</v>
      </c>
    </row>
    <row r="67" spans="2:27">
      <c r="B67">
        <v>59</v>
      </c>
      <c r="C67" s="1459">
        <v>44926</v>
      </c>
      <c r="D67" s="1070"/>
      <c r="E67" s="1070"/>
      <c r="F67" s="1295"/>
      <c r="G67" s="1295"/>
      <c r="H67" s="1295"/>
      <c r="I67" s="1295"/>
      <c r="J67" s="1295"/>
      <c r="K67" s="1461"/>
      <c r="L67" s="1462">
        <f t="shared" si="4"/>
        <v>0</v>
      </c>
      <c r="M67" s="78"/>
      <c r="N67" s="78"/>
      <c r="O67" s="78">
        <f t="shared" si="15"/>
        <v>0</v>
      </c>
      <c r="P67" s="1070">
        <f t="shared" si="5"/>
        <v>0</v>
      </c>
      <c r="Q67" s="1070">
        <f t="shared" si="6"/>
        <v>0</v>
      </c>
      <c r="R67" s="1070">
        <f t="shared" si="7"/>
        <v>0</v>
      </c>
      <c r="S67" s="1070">
        <f t="shared" si="8"/>
        <v>0</v>
      </c>
      <c r="T67" s="1070">
        <f t="shared" si="9"/>
        <v>0</v>
      </c>
      <c r="U67" s="1070">
        <f t="shared" si="10"/>
        <v>0</v>
      </c>
      <c r="V67" s="1070">
        <f t="shared" si="11"/>
        <v>0</v>
      </c>
      <c r="W67" s="1296">
        <f t="shared" si="12"/>
        <v>0</v>
      </c>
      <c r="X67" s="1462">
        <f t="shared" si="13"/>
        <v>0</v>
      </c>
      <c r="Y67" s="78">
        <f t="shared" si="14"/>
        <v>0</v>
      </c>
      <c r="Z67" s="78"/>
      <c r="AA67" s="78">
        <f t="shared" si="16"/>
        <v>0</v>
      </c>
    </row>
    <row r="68" spans="2:27">
      <c r="B68">
        <v>60</v>
      </c>
      <c r="C68" s="1459">
        <v>44926</v>
      </c>
      <c r="D68" s="1070"/>
      <c r="E68" s="1070"/>
      <c r="F68" s="1295"/>
      <c r="G68" s="1295"/>
      <c r="H68" s="1295"/>
      <c r="I68" s="1295"/>
      <c r="J68" s="1295"/>
      <c r="K68" s="1461"/>
      <c r="L68" s="1462">
        <f t="shared" si="4"/>
        <v>0</v>
      </c>
      <c r="M68" s="78"/>
      <c r="N68" s="78"/>
      <c r="O68" s="78">
        <f t="shared" si="15"/>
        <v>0</v>
      </c>
      <c r="P68" s="1070">
        <f t="shared" si="5"/>
        <v>0</v>
      </c>
      <c r="Q68" s="1070">
        <f t="shared" si="6"/>
        <v>0</v>
      </c>
      <c r="R68" s="1070">
        <f t="shared" si="7"/>
        <v>0</v>
      </c>
      <c r="S68" s="1070">
        <f t="shared" si="8"/>
        <v>0</v>
      </c>
      <c r="T68" s="1070">
        <f t="shared" si="9"/>
        <v>0</v>
      </c>
      <c r="U68" s="1070">
        <f t="shared" si="10"/>
        <v>0</v>
      </c>
      <c r="V68" s="1070">
        <f t="shared" si="11"/>
        <v>0</v>
      </c>
      <c r="W68" s="1296">
        <f t="shared" si="12"/>
        <v>0</v>
      </c>
      <c r="X68" s="1462">
        <f t="shared" si="13"/>
        <v>0</v>
      </c>
      <c r="Y68" s="78">
        <f t="shared" si="14"/>
        <v>0</v>
      </c>
      <c r="Z68" s="78"/>
      <c r="AA68" s="78">
        <f t="shared" si="16"/>
        <v>0</v>
      </c>
    </row>
    <row r="69" spans="2:27">
      <c r="B69">
        <v>61</v>
      </c>
      <c r="C69" s="1459">
        <v>44926</v>
      </c>
      <c r="D69" s="1070"/>
      <c r="E69" s="1070"/>
      <c r="F69" s="1295"/>
      <c r="G69" s="1295"/>
      <c r="H69" s="1295"/>
      <c r="I69" s="1295"/>
      <c r="J69" s="1295"/>
      <c r="K69" s="1461"/>
      <c r="L69" s="1462">
        <f t="shared" si="4"/>
        <v>0</v>
      </c>
      <c r="M69" s="78"/>
      <c r="N69" s="78"/>
      <c r="O69" s="78">
        <f t="shared" si="15"/>
        <v>0</v>
      </c>
      <c r="P69" s="1070">
        <f t="shared" si="5"/>
        <v>0</v>
      </c>
      <c r="Q69" s="1070">
        <f t="shared" si="6"/>
        <v>0</v>
      </c>
      <c r="R69" s="1070">
        <f t="shared" si="7"/>
        <v>0</v>
      </c>
      <c r="S69" s="1070">
        <f t="shared" si="8"/>
        <v>0</v>
      </c>
      <c r="T69" s="1070">
        <f t="shared" si="9"/>
        <v>0</v>
      </c>
      <c r="U69" s="1070">
        <f t="shared" si="10"/>
        <v>0</v>
      </c>
      <c r="V69" s="1070">
        <f t="shared" si="11"/>
        <v>0</v>
      </c>
      <c r="W69" s="1296">
        <f t="shared" si="12"/>
        <v>0</v>
      </c>
      <c r="X69" s="1462">
        <f t="shared" si="13"/>
        <v>0</v>
      </c>
      <c r="Y69" s="78">
        <f t="shared" si="14"/>
        <v>0</v>
      </c>
      <c r="Z69" s="78"/>
      <c r="AA69" s="78">
        <f t="shared" si="16"/>
        <v>0</v>
      </c>
    </row>
    <row r="70" spans="2:27">
      <c r="B70">
        <v>62</v>
      </c>
      <c r="C70" s="1459">
        <v>44926</v>
      </c>
      <c r="D70" s="1070"/>
      <c r="E70" s="1070"/>
      <c r="F70" s="1295"/>
      <c r="G70" s="1295"/>
      <c r="H70" s="1295"/>
      <c r="I70" s="1295"/>
      <c r="J70" s="1295"/>
      <c r="K70" s="1461"/>
      <c r="L70" s="1462">
        <f t="shared" si="4"/>
        <v>0</v>
      </c>
      <c r="M70" s="78"/>
      <c r="N70" s="78"/>
      <c r="O70" s="78">
        <f t="shared" si="15"/>
        <v>0</v>
      </c>
      <c r="P70" s="1070">
        <f t="shared" si="5"/>
        <v>0</v>
      </c>
      <c r="Q70" s="1070">
        <f t="shared" si="6"/>
        <v>0</v>
      </c>
      <c r="R70" s="1070">
        <f t="shared" si="7"/>
        <v>0</v>
      </c>
      <c r="S70" s="1070">
        <f t="shared" si="8"/>
        <v>0</v>
      </c>
      <c r="T70" s="1070">
        <f t="shared" si="9"/>
        <v>0</v>
      </c>
      <c r="U70" s="1070">
        <f t="shared" si="10"/>
        <v>0</v>
      </c>
      <c r="V70" s="1070">
        <f t="shared" si="11"/>
        <v>0</v>
      </c>
      <c r="W70" s="1296">
        <f t="shared" si="12"/>
        <v>0</v>
      </c>
      <c r="X70" s="1462">
        <f t="shared" si="13"/>
        <v>0</v>
      </c>
      <c r="Y70" s="78">
        <f t="shared" si="14"/>
        <v>0</v>
      </c>
      <c r="Z70" s="78"/>
      <c r="AA70" s="78">
        <f t="shared" si="16"/>
        <v>0</v>
      </c>
    </row>
    <row r="71" spans="2:27">
      <c r="B71">
        <v>63</v>
      </c>
      <c r="C71" s="1459">
        <v>44926</v>
      </c>
      <c r="D71" s="1070"/>
      <c r="E71" s="1070"/>
      <c r="F71" s="1295"/>
      <c r="G71" s="1295"/>
      <c r="H71" s="1295"/>
      <c r="I71" s="1295"/>
      <c r="J71" s="1295"/>
      <c r="K71" s="1461"/>
      <c r="L71" s="1462">
        <f t="shared" si="4"/>
        <v>0</v>
      </c>
      <c r="M71" s="78"/>
      <c r="N71" s="78"/>
      <c r="O71" s="78">
        <f t="shared" si="15"/>
        <v>0</v>
      </c>
      <c r="P71" s="1070">
        <f t="shared" si="5"/>
        <v>0</v>
      </c>
      <c r="Q71" s="1070">
        <f t="shared" si="6"/>
        <v>0</v>
      </c>
      <c r="R71" s="1070">
        <f t="shared" si="7"/>
        <v>0</v>
      </c>
      <c r="S71" s="1070">
        <f t="shared" si="8"/>
        <v>0</v>
      </c>
      <c r="T71" s="1070">
        <f t="shared" si="9"/>
        <v>0</v>
      </c>
      <c r="U71" s="1070">
        <f t="shared" si="10"/>
        <v>0</v>
      </c>
      <c r="V71" s="1070">
        <f t="shared" si="11"/>
        <v>0</v>
      </c>
      <c r="W71" s="1296">
        <f t="shared" si="12"/>
        <v>0</v>
      </c>
      <c r="X71" s="1462">
        <f t="shared" si="13"/>
        <v>0</v>
      </c>
      <c r="Y71" s="78">
        <f t="shared" si="14"/>
        <v>0</v>
      </c>
      <c r="Z71" s="78"/>
      <c r="AA71" s="78">
        <f t="shared" si="16"/>
        <v>0</v>
      </c>
    </row>
    <row r="72" spans="2:27">
      <c r="B72">
        <v>64</v>
      </c>
      <c r="C72" s="1459">
        <v>44926</v>
      </c>
      <c r="D72" s="1070"/>
      <c r="E72" s="1070"/>
      <c r="F72" s="1295"/>
      <c r="G72" s="1295"/>
      <c r="H72" s="1295"/>
      <c r="I72" s="1295"/>
      <c r="J72" s="1295"/>
      <c r="K72" s="1461"/>
      <c r="L72" s="1462">
        <f t="shared" si="4"/>
        <v>0</v>
      </c>
      <c r="M72" s="78"/>
      <c r="N72" s="78"/>
      <c r="O72" s="78">
        <f t="shared" si="15"/>
        <v>0</v>
      </c>
      <c r="P72" s="1070">
        <f t="shared" si="5"/>
        <v>0</v>
      </c>
      <c r="Q72" s="1070">
        <f t="shared" si="6"/>
        <v>0</v>
      </c>
      <c r="R72" s="1070">
        <f t="shared" si="7"/>
        <v>0</v>
      </c>
      <c r="S72" s="1070">
        <f t="shared" si="8"/>
        <v>0</v>
      </c>
      <c r="T72" s="1070">
        <f t="shared" si="9"/>
        <v>0</v>
      </c>
      <c r="U72" s="1070">
        <f t="shared" si="10"/>
        <v>0</v>
      </c>
      <c r="V72" s="1070">
        <f t="shared" si="11"/>
        <v>0</v>
      </c>
      <c r="W72" s="1296">
        <f t="shared" si="12"/>
        <v>0</v>
      </c>
      <c r="X72" s="1462">
        <f t="shared" si="13"/>
        <v>0</v>
      </c>
      <c r="Y72" s="78">
        <f t="shared" si="14"/>
        <v>0</v>
      </c>
      <c r="Z72" s="78"/>
      <c r="AA72" s="78">
        <f t="shared" si="16"/>
        <v>0</v>
      </c>
    </row>
    <row r="73" spans="2:27">
      <c r="B73">
        <v>65</v>
      </c>
      <c r="C73" s="1459">
        <v>44926</v>
      </c>
      <c r="D73" s="1070"/>
      <c r="E73" s="1070"/>
      <c r="F73" s="1295"/>
      <c r="G73" s="1295"/>
      <c r="H73" s="1295"/>
      <c r="I73" s="1295"/>
      <c r="J73" s="1295"/>
      <c r="K73" s="1461"/>
      <c r="L73" s="1462">
        <f t="shared" ref="L73:L136" si="17">SUM(D73:K73)</f>
        <v>0</v>
      </c>
      <c r="M73" s="78"/>
      <c r="N73" s="78"/>
      <c r="O73" s="78">
        <f t="shared" si="15"/>
        <v>0</v>
      </c>
      <c r="P73" s="1070">
        <f t="shared" ref="P73:P136" si="18">(D73/$O$6)</f>
        <v>0</v>
      </c>
      <c r="Q73" s="1070">
        <f t="shared" ref="Q73:Q136" si="19">(E73/$O$6)</f>
        <v>0</v>
      </c>
      <c r="R73" s="1070">
        <f t="shared" ref="R73:R136" si="20">(F73/$O$6)</f>
        <v>0</v>
      </c>
      <c r="S73" s="1070">
        <f t="shared" ref="S73:S136" si="21">(G73/$O$6)</f>
        <v>0</v>
      </c>
      <c r="T73" s="1070">
        <f t="shared" ref="T73:T136" si="22">(H73/$O$6)</f>
        <v>0</v>
      </c>
      <c r="U73" s="1070">
        <f t="shared" ref="U73:U136" si="23">(I73/$O$6)</f>
        <v>0</v>
      </c>
      <c r="V73" s="1070">
        <f t="shared" ref="V73:V136" si="24">(J73/$O$6)</f>
        <v>0</v>
      </c>
      <c r="W73" s="1296">
        <f t="shared" ref="W73:W136" si="25">(K73/$O$6)</f>
        <v>0</v>
      </c>
      <c r="X73" s="1462">
        <f t="shared" ref="X73:X136" si="26">SUM(P73:W73)</f>
        <v>0</v>
      </c>
      <c r="Y73" s="78">
        <f t="shared" ref="Y73:Y136" si="27">(M73*$O$6)</f>
        <v>0</v>
      </c>
      <c r="Z73" s="78"/>
      <c r="AA73" s="78">
        <f t="shared" si="16"/>
        <v>0</v>
      </c>
    </row>
    <row r="74" spans="2:27">
      <c r="B74">
        <v>66</v>
      </c>
      <c r="C74" s="1459">
        <v>44926</v>
      </c>
      <c r="D74" s="1070"/>
      <c r="E74" s="1070"/>
      <c r="F74" s="1295"/>
      <c r="G74" s="1295"/>
      <c r="H74" s="1295"/>
      <c r="I74" s="1295"/>
      <c r="J74" s="1295"/>
      <c r="K74" s="1461"/>
      <c r="L74" s="1462">
        <f t="shared" si="17"/>
        <v>0</v>
      </c>
      <c r="M74" s="78"/>
      <c r="N74" s="78"/>
      <c r="O74" s="78">
        <f t="shared" ref="O74:O137" si="28">(L74*M74)</f>
        <v>0</v>
      </c>
      <c r="P74" s="1070">
        <f t="shared" si="18"/>
        <v>0</v>
      </c>
      <c r="Q74" s="1070">
        <f t="shared" si="19"/>
        <v>0</v>
      </c>
      <c r="R74" s="1070">
        <f t="shared" si="20"/>
        <v>0</v>
      </c>
      <c r="S74" s="1070">
        <f t="shared" si="21"/>
        <v>0</v>
      </c>
      <c r="T74" s="1070">
        <f t="shared" si="22"/>
        <v>0</v>
      </c>
      <c r="U74" s="1070">
        <f t="shared" si="23"/>
        <v>0</v>
      </c>
      <c r="V74" s="1070">
        <f t="shared" si="24"/>
        <v>0</v>
      </c>
      <c r="W74" s="1296">
        <f t="shared" si="25"/>
        <v>0</v>
      </c>
      <c r="X74" s="1462">
        <f t="shared" si="26"/>
        <v>0</v>
      </c>
      <c r="Y74" s="78">
        <f t="shared" si="27"/>
        <v>0</v>
      </c>
      <c r="Z74" s="78"/>
      <c r="AA74" s="78">
        <f t="shared" ref="AA74:AA137" si="29">(X74*Y74)</f>
        <v>0</v>
      </c>
    </row>
    <row r="75" spans="2:27">
      <c r="B75">
        <v>67</v>
      </c>
      <c r="C75" s="1459">
        <v>44926</v>
      </c>
      <c r="D75" s="1070"/>
      <c r="E75" s="1070"/>
      <c r="F75" s="1295"/>
      <c r="G75" s="1295"/>
      <c r="H75" s="1295"/>
      <c r="I75" s="1295"/>
      <c r="J75" s="1295"/>
      <c r="K75" s="1461"/>
      <c r="L75" s="1462">
        <f t="shared" si="17"/>
        <v>0</v>
      </c>
      <c r="M75" s="78"/>
      <c r="N75" s="78"/>
      <c r="O75" s="78">
        <f t="shared" si="28"/>
        <v>0</v>
      </c>
      <c r="P75" s="1070">
        <f t="shared" si="18"/>
        <v>0</v>
      </c>
      <c r="Q75" s="1070">
        <f t="shared" si="19"/>
        <v>0</v>
      </c>
      <c r="R75" s="1070">
        <f t="shared" si="20"/>
        <v>0</v>
      </c>
      <c r="S75" s="1070">
        <f t="shared" si="21"/>
        <v>0</v>
      </c>
      <c r="T75" s="1070">
        <f t="shared" si="22"/>
        <v>0</v>
      </c>
      <c r="U75" s="1070">
        <f t="shared" si="23"/>
        <v>0</v>
      </c>
      <c r="V75" s="1070">
        <f t="shared" si="24"/>
        <v>0</v>
      </c>
      <c r="W75" s="1296">
        <f t="shared" si="25"/>
        <v>0</v>
      </c>
      <c r="X75" s="1462">
        <f t="shared" si="26"/>
        <v>0</v>
      </c>
      <c r="Y75" s="78">
        <f t="shared" si="27"/>
        <v>0</v>
      </c>
      <c r="Z75" s="78"/>
      <c r="AA75" s="78">
        <f t="shared" si="29"/>
        <v>0</v>
      </c>
    </row>
    <row r="76" spans="2:27">
      <c r="B76">
        <v>68</v>
      </c>
      <c r="C76" s="1459">
        <v>44926</v>
      </c>
      <c r="D76" s="1070"/>
      <c r="E76" s="1070"/>
      <c r="F76" s="1295"/>
      <c r="G76" s="1295"/>
      <c r="H76" s="1295"/>
      <c r="I76" s="1295"/>
      <c r="J76" s="1295"/>
      <c r="K76" s="1461"/>
      <c r="L76" s="1462">
        <f t="shared" si="17"/>
        <v>0</v>
      </c>
      <c r="M76" s="78"/>
      <c r="N76" s="78"/>
      <c r="O76" s="78">
        <f t="shared" si="28"/>
        <v>0</v>
      </c>
      <c r="P76" s="1070">
        <f t="shared" si="18"/>
        <v>0</v>
      </c>
      <c r="Q76" s="1070">
        <f t="shared" si="19"/>
        <v>0</v>
      </c>
      <c r="R76" s="1070">
        <f t="shared" si="20"/>
        <v>0</v>
      </c>
      <c r="S76" s="1070">
        <f t="shared" si="21"/>
        <v>0</v>
      </c>
      <c r="T76" s="1070">
        <f t="shared" si="22"/>
        <v>0</v>
      </c>
      <c r="U76" s="1070">
        <f t="shared" si="23"/>
        <v>0</v>
      </c>
      <c r="V76" s="1070">
        <f t="shared" si="24"/>
        <v>0</v>
      </c>
      <c r="W76" s="1296">
        <f t="shared" si="25"/>
        <v>0</v>
      </c>
      <c r="X76" s="1462">
        <f t="shared" si="26"/>
        <v>0</v>
      </c>
      <c r="Y76" s="78">
        <f t="shared" si="27"/>
        <v>0</v>
      </c>
      <c r="Z76" s="78"/>
      <c r="AA76" s="78">
        <f t="shared" si="29"/>
        <v>0</v>
      </c>
    </row>
    <row r="77" spans="2:27">
      <c r="B77">
        <v>69</v>
      </c>
      <c r="C77" s="1459">
        <v>44926</v>
      </c>
      <c r="D77" s="1070"/>
      <c r="E77" s="1070"/>
      <c r="F77" s="1295"/>
      <c r="G77" s="1295"/>
      <c r="H77" s="1295"/>
      <c r="I77" s="1295"/>
      <c r="J77" s="1295"/>
      <c r="K77" s="1461"/>
      <c r="L77" s="1462">
        <f t="shared" si="17"/>
        <v>0</v>
      </c>
      <c r="M77" s="78"/>
      <c r="N77" s="78"/>
      <c r="O77" s="78">
        <f t="shared" si="28"/>
        <v>0</v>
      </c>
      <c r="P77" s="1070">
        <f t="shared" si="18"/>
        <v>0</v>
      </c>
      <c r="Q77" s="1070">
        <f t="shared" si="19"/>
        <v>0</v>
      </c>
      <c r="R77" s="1070">
        <f t="shared" si="20"/>
        <v>0</v>
      </c>
      <c r="S77" s="1070">
        <f t="shared" si="21"/>
        <v>0</v>
      </c>
      <c r="T77" s="1070">
        <f t="shared" si="22"/>
        <v>0</v>
      </c>
      <c r="U77" s="1070">
        <f t="shared" si="23"/>
        <v>0</v>
      </c>
      <c r="V77" s="1070">
        <f t="shared" si="24"/>
        <v>0</v>
      </c>
      <c r="W77" s="1296">
        <f t="shared" si="25"/>
        <v>0</v>
      </c>
      <c r="X77" s="1462">
        <f t="shared" si="26"/>
        <v>0</v>
      </c>
      <c r="Y77" s="78">
        <f t="shared" si="27"/>
        <v>0</v>
      </c>
      <c r="Z77" s="78"/>
      <c r="AA77" s="78">
        <f t="shared" si="29"/>
        <v>0</v>
      </c>
    </row>
    <row r="78" spans="2:27">
      <c r="B78">
        <v>70</v>
      </c>
      <c r="C78" s="1459">
        <v>44926</v>
      </c>
      <c r="D78" s="1070"/>
      <c r="E78" s="1070"/>
      <c r="F78" s="1295"/>
      <c r="G78" s="1295"/>
      <c r="H78" s="1295"/>
      <c r="I78" s="1295"/>
      <c r="J78" s="1295"/>
      <c r="K78" s="1461"/>
      <c r="L78" s="1462">
        <f t="shared" si="17"/>
        <v>0</v>
      </c>
      <c r="M78" s="78"/>
      <c r="N78" s="78"/>
      <c r="O78" s="78">
        <f t="shared" si="28"/>
        <v>0</v>
      </c>
      <c r="P78" s="1070">
        <f t="shared" si="18"/>
        <v>0</v>
      </c>
      <c r="Q78" s="1070">
        <f t="shared" si="19"/>
        <v>0</v>
      </c>
      <c r="R78" s="1070">
        <f t="shared" si="20"/>
        <v>0</v>
      </c>
      <c r="S78" s="1070">
        <f t="shared" si="21"/>
        <v>0</v>
      </c>
      <c r="T78" s="1070">
        <f t="shared" si="22"/>
        <v>0</v>
      </c>
      <c r="U78" s="1070">
        <f t="shared" si="23"/>
        <v>0</v>
      </c>
      <c r="V78" s="1070">
        <f t="shared" si="24"/>
        <v>0</v>
      </c>
      <c r="W78" s="1296">
        <f t="shared" si="25"/>
        <v>0</v>
      </c>
      <c r="X78" s="1462">
        <f t="shared" si="26"/>
        <v>0</v>
      </c>
      <c r="Y78" s="78">
        <f t="shared" si="27"/>
        <v>0</v>
      </c>
      <c r="Z78" s="78"/>
      <c r="AA78" s="78">
        <f t="shared" si="29"/>
        <v>0</v>
      </c>
    </row>
    <row r="79" spans="2:27">
      <c r="B79">
        <v>71</v>
      </c>
      <c r="C79" s="1459">
        <v>44926</v>
      </c>
      <c r="D79" s="1070"/>
      <c r="E79" s="1070"/>
      <c r="F79" s="1295"/>
      <c r="G79" s="1295"/>
      <c r="H79" s="1295"/>
      <c r="I79" s="1295"/>
      <c r="J79" s="1295"/>
      <c r="K79" s="1461"/>
      <c r="L79" s="1462">
        <f t="shared" si="17"/>
        <v>0</v>
      </c>
      <c r="M79" s="78"/>
      <c r="N79" s="78"/>
      <c r="O79" s="78">
        <f t="shared" si="28"/>
        <v>0</v>
      </c>
      <c r="P79" s="1070">
        <f t="shared" si="18"/>
        <v>0</v>
      </c>
      <c r="Q79" s="1070">
        <f t="shared" si="19"/>
        <v>0</v>
      </c>
      <c r="R79" s="1070">
        <f t="shared" si="20"/>
        <v>0</v>
      </c>
      <c r="S79" s="1070">
        <f t="shared" si="21"/>
        <v>0</v>
      </c>
      <c r="T79" s="1070">
        <f t="shared" si="22"/>
        <v>0</v>
      </c>
      <c r="U79" s="1070">
        <f t="shared" si="23"/>
        <v>0</v>
      </c>
      <c r="V79" s="1070">
        <f t="shared" si="24"/>
        <v>0</v>
      </c>
      <c r="W79" s="1296">
        <f t="shared" si="25"/>
        <v>0</v>
      </c>
      <c r="X79" s="1462">
        <f t="shared" si="26"/>
        <v>0</v>
      </c>
      <c r="Y79" s="78">
        <f t="shared" si="27"/>
        <v>0</v>
      </c>
      <c r="Z79" s="78"/>
      <c r="AA79" s="78">
        <f t="shared" si="29"/>
        <v>0</v>
      </c>
    </row>
    <row r="80" spans="2:27">
      <c r="B80">
        <v>72</v>
      </c>
      <c r="C80" s="1459">
        <v>44926</v>
      </c>
      <c r="D80" s="1070"/>
      <c r="E80" s="1070"/>
      <c r="F80" s="1295"/>
      <c r="G80" s="1295"/>
      <c r="H80" s="1295"/>
      <c r="I80" s="1295"/>
      <c r="J80" s="1295"/>
      <c r="K80" s="1461"/>
      <c r="L80" s="1462">
        <f t="shared" si="17"/>
        <v>0</v>
      </c>
      <c r="M80" s="78"/>
      <c r="N80" s="78"/>
      <c r="O80" s="78">
        <f t="shared" si="28"/>
        <v>0</v>
      </c>
      <c r="P80" s="1070">
        <f t="shared" si="18"/>
        <v>0</v>
      </c>
      <c r="Q80" s="1070">
        <f t="shared" si="19"/>
        <v>0</v>
      </c>
      <c r="R80" s="1070">
        <f t="shared" si="20"/>
        <v>0</v>
      </c>
      <c r="S80" s="1070">
        <f t="shared" si="21"/>
        <v>0</v>
      </c>
      <c r="T80" s="1070">
        <f t="shared" si="22"/>
        <v>0</v>
      </c>
      <c r="U80" s="1070">
        <f t="shared" si="23"/>
        <v>0</v>
      </c>
      <c r="V80" s="1070">
        <f t="shared" si="24"/>
        <v>0</v>
      </c>
      <c r="W80" s="1296">
        <f t="shared" si="25"/>
        <v>0</v>
      </c>
      <c r="X80" s="1462">
        <f t="shared" si="26"/>
        <v>0</v>
      </c>
      <c r="Y80" s="78">
        <f t="shared" si="27"/>
        <v>0</v>
      </c>
      <c r="Z80" s="78"/>
      <c r="AA80" s="78">
        <f t="shared" si="29"/>
        <v>0</v>
      </c>
    </row>
    <row r="81" spans="2:27">
      <c r="B81">
        <v>73</v>
      </c>
      <c r="C81" s="1459">
        <v>44926</v>
      </c>
      <c r="D81" s="1070"/>
      <c r="E81" s="1070"/>
      <c r="F81" s="1295"/>
      <c r="G81" s="1295"/>
      <c r="H81" s="1295"/>
      <c r="I81" s="1295"/>
      <c r="J81" s="1295"/>
      <c r="K81" s="1461"/>
      <c r="L81" s="1462">
        <f t="shared" si="17"/>
        <v>0</v>
      </c>
      <c r="M81" s="78"/>
      <c r="N81" s="78"/>
      <c r="O81" s="78">
        <f t="shared" si="28"/>
        <v>0</v>
      </c>
      <c r="P81" s="1070">
        <f t="shared" si="18"/>
        <v>0</v>
      </c>
      <c r="Q81" s="1070">
        <f t="shared" si="19"/>
        <v>0</v>
      </c>
      <c r="R81" s="1070">
        <f t="shared" si="20"/>
        <v>0</v>
      </c>
      <c r="S81" s="1070">
        <f t="shared" si="21"/>
        <v>0</v>
      </c>
      <c r="T81" s="1070">
        <f t="shared" si="22"/>
        <v>0</v>
      </c>
      <c r="U81" s="1070">
        <f t="shared" si="23"/>
        <v>0</v>
      </c>
      <c r="V81" s="1070">
        <f t="shared" si="24"/>
        <v>0</v>
      </c>
      <c r="W81" s="1296">
        <f t="shared" si="25"/>
        <v>0</v>
      </c>
      <c r="X81" s="1462">
        <f t="shared" si="26"/>
        <v>0</v>
      </c>
      <c r="Y81" s="78">
        <f t="shared" si="27"/>
        <v>0</v>
      </c>
      <c r="Z81" s="78"/>
      <c r="AA81" s="78">
        <f t="shared" si="29"/>
        <v>0</v>
      </c>
    </row>
    <row r="82" spans="2:27">
      <c r="B82">
        <v>74</v>
      </c>
      <c r="C82" s="1459">
        <v>44926</v>
      </c>
      <c r="D82" s="1070"/>
      <c r="E82" s="1070"/>
      <c r="F82" s="1295"/>
      <c r="G82" s="1295"/>
      <c r="H82" s="1295"/>
      <c r="I82" s="1295"/>
      <c r="J82" s="1295"/>
      <c r="K82" s="1461"/>
      <c r="L82" s="1462">
        <f t="shared" si="17"/>
        <v>0</v>
      </c>
      <c r="M82" s="78"/>
      <c r="N82" s="78"/>
      <c r="O82" s="78">
        <f t="shared" si="28"/>
        <v>0</v>
      </c>
      <c r="P82" s="1070">
        <f t="shared" si="18"/>
        <v>0</v>
      </c>
      <c r="Q82" s="1070">
        <f t="shared" si="19"/>
        <v>0</v>
      </c>
      <c r="R82" s="1070">
        <f t="shared" si="20"/>
        <v>0</v>
      </c>
      <c r="S82" s="1070">
        <f t="shared" si="21"/>
        <v>0</v>
      </c>
      <c r="T82" s="1070">
        <f t="shared" si="22"/>
        <v>0</v>
      </c>
      <c r="U82" s="1070">
        <f t="shared" si="23"/>
        <v>0</v>
      </c>
      <c r="V82" s="1070">
        <f t="shared" si="24"/>
        <v>0</v>
      </c>
      <c r="W82" s="1296">
        <f t="shared" si="25"/>
        <v>0</v>
      </c>
      <c r="X82" s="1462">
        <f t="shared" si="26"/>
        <v>0</v>
      </c>
      <c r="Y82" s="78">
        <f t="shared" si="27"/>
        <v>0</v>
      </c>
      <c r="Z82" s="78"/>
      <c r="AA82" s="78">
        <f t="shared" si="29"/>
        <v>0</v>
      </c>
    </row>
    <row r="83" spans="2:27">
      <c r="B83">
        <v>75</v>
      </c>
      <c r="C83" s="1459">
        <v>44926</v>
      </c>
      <c r="D83" s="1070"/>
      <c r="E83" s="1070"/>
      <c r="F83" s="1295"/>
      <c r="G83" s="1295"/>
      <c r="H83" s="1295"/>
      <c r="I83" s="1295"/>
      <c r="J83" s="1295"/>
      <c r="K83" s="1461"/>
      <c r="L83" s="1462">
        <f t="shared" si="17"/>
        <v>0</v>
      </c>
      <c r="M83" s="78"/>
      <c r="N83" s="78"/>
      <c r="O83" s="78">
        <f t="shared" si="28"/>
        <v>0</v>
      </c>
      <c r="P83" s="1070">
        <f t="shared" si="18"/>
        <v>0</v>
      </c>
      <c r="Q83" s="1070">
        <f t="shared" si="19"/>
        <v>0</v>
      </c>
      <c r="R83" s="1070">
        <f t="shared" si="20"/>
        <v>0</v>
      </c>
      <c r="S83" s="1070">
        <f t="shared" si="21"/>
        <v>0</v>
      </c>
      <c r="T83" s="1070">
        <f t="shared" si="22"/>
        <v>0</v>
      </c>
      <c r="U83" s="1070">
        <f t="shared" si="23"/>
        <v>0</v>
      </c>
      <c r="V83" s="1070">
        <f t="shared" si="24"/>
        <v>0</v>
      </c>
      <c r="W83" s="1296">
        <f t="shared" si="25"/>
        <v>0</v>
      </c>
      <c r="X83" s="1462">
        <f t="shared" si="26"/>
        <v>0</v>
      </c>
      <c r="Y83" s="78">
        <f t="shared" si="27"/>
        <v>0</v>
      </c>
      <c r="Z83" s="78"/>
      <c r="AA83" s="78">
        <f t="shared" si="29"/>
        <v>0</v>
      </c>
    </row>
    <row r="84" spans="2:27">
      <c r="B84">
        <v>76</v>
      </c>
      <c r="C84" s="1459">
        <v>44926</v>
      </c>
      <c r="D84" s="1070"/>
      <c r="E84" s="1070"/>
      <c r="F84" s="1295"/>
      <c r="G84" s="1295"/>
      <c r="H84" s="1295"/>
      <c r="I84" s="1295"/>
      <c r="J84" s="1295"/>
      <c r="K84" s="1461"/>
      <c r="L84" s="1462">
        <f t="shared" si="17"/>
        <v>0</v>
      </c>
      <c r="M84" s="78"/>
      <c r="N84" s="78"/>
      <c r="O84" s="78">
        <f t="shared" si="28"/>
        <v>0</v>
      </c>
      <c r="P84" s="1070">
        <f t="shared" si="18"/>
        <v>0</v>
      </c>
      <c r="Q84" s="1070">
        <f t="shared" si="19"/>
        <v>0</v>
      </c>
      <c r="R84" s="1070">
        <f t="shared" si="20"/>
        <v>0</v>
      </c>
      <c r="S84" s="1070">
        <f t="shared" si="21"/>
        <v>0</v>
      </c>
      <c r="T84" s="1070">
        <f t="shared" si="22"/>
        <v>0</v>
      </c>
      <c r="U84" s="1070">
        <f t="shared" si="23"/>
        <v>0</v>
      </c>
      <c r="V84" s="1070">
        <f t="shared" si="24"/>
        <v>0</v>
      </c>
      <c r="W84" s="1296">
        <f t="shared" si="25"/>
        <v>0</v>
      </c>
      <c r="X84" s="1462">
        <f t="shared" si="26"/>
        <v>0</v>
      </c>
      <c r="Y84" s="78">
        <f t="shared" si="27"/>
        <v>0</v>
      </c>
      <c r="Z84" s="78"/>
      <c r="AA84" s="78">
        <f t="shared" si="29"/>
        <v>0</v>
      </c>
    </row>
    <row r="85" spans="2:27">
      <c r="B85">
        <v>77</v>
      </c>
      <c r="C85" s="1459">
        <v>44926</v>
      </c>
      <c r="D85" s="1070"/>
      <c r="E85" s="1070"/>
      <c r="F85" s="1295"/>
      <c r="G85" s="1295"/>
      <c r="H85" s="1295"/>
      <c r="I85" s="1295"/>
      <c r="J85" s="1295"/>
      <c r="K85" s="1461"/>
      <c r="L85" s="1462">
        <f t="shared" si="17"/>
        <v>0</v>
      </c>
      <c r="M85" s="78"/>
      <c r="N85" s="78"/>
      <c r="O85" s="78">
        <f t="shared" si="28"/>
        <v>0</v>
      </c>
      <c r="P85" s="1070">
        <f t="shared" si="18"/>
        <v>0</v>
      </c>
      <c r="Q85" s="1070">
        <f t="shared" si="19"/>
        <v>0</v>
      </c>
      <c r="R85" s="1070">
        <f t="shared" si="20"/>
        <v>0</v>
      </c>
      <c r="S85" s="1070">
        <f t="shared" si="21"/>
        <v>0</v>
      </c>
      <c r="T85" s="1070">
        <f t="shared" si="22"/>
        <v>0</v>
      </c>
      <c r="U85" s="1070">
        <f t="shared" si="23"/>
        <v>0</v>
      </c>
      <c r="V85" s="1070">
        <f t="shared" si="24"/>
        <v>0</v>
      </c>
      <c r="W85" s="1296">
        <f t="shared" si="25"/>
        <v>0</v>
      </c>
      <c r="X85" s="1462">
        <f t="shared" si="26"/>
        <v>0</v>
      </c>
      <c r="Y85" s="78">
        <f t="shared" si="27"/>
        <v>0</v>
      </c>
      <c r="Z85" s="78"/>
      <c r="AA85" s="78">
        <f t="shared" si="29"/>
        <v>0</v>
      </c>
    </row>
    <row r="86" spans="2:27">
      <c r="B86">
        <v>78</v>
      </c>
      <c r="C86" s="1459">
        <v>44926</v>
      </c>
      <c r="D86" s="1070"/>
      <c r="E86" s="1070"/>
      <c r="F86" s="1295"/>
      <c r="G86" s="1295"/>
      <c r="H86" s="1295"/>
      <c r="I86" s="1295"/>
      <c r="J86" s="1295"/>
      <c r="K86" s="1461"/>
      <c r="L86" s="1462">
        <f t="shared" si="17"/>
        <v>0</v>
      </c>
      <c r="M86" s="78"/>
      <c r="N86" s="78"/>
      <c r="O86" s="78">
        <f t="shared" si="28"/>
        <v>0</v>
      </c>
      <c r="P86" s="1070">
        <f t="shared" si="18"/>
        <v>0</v>
      </c>
      <c r="Q86" s="1070">
        <f t="shared" si="19"/>
        <v>0</v>
      </c>
      <c r="R86" s="1070">
        <f t="shared" si="20"/>
        <v>0</v>
      </c>
      <c r="S86" s="1070">
        <f t="shared" si="21"/>
        <v>0</v>
      </c>
      <c r="T86" s="1070">
        <f t="shared" si="22"/>
        <v>0</v>
      </c>
      <c r="U86" s="1070">
        <f t="shared" si="23"/>
        <v>0</v>
      </c>
      <c r="V86" s="1070">
        <f t="shared" si="24"/>
        <v>0</v>
      </c>
      <c r="W86" s="1296">
        <f t="shared" si="25"/>
        <v>0</v>
      </c>
      <c r="X86" s="1462">
        <f t="shared" si="26"/>
        <v>0</v>
      </c>
      <c r="Y86" s="78">
        <f t="shared" si="27"/>
        <v>0</v>
      </c>
      <c r="Z86" s="78"/>
      <c r="AA86" s="78">
        <f t="shared" si="29"/>
        <v>0</v>
      </c>
    </row>
    <row r="87" spans="2:27">
      <c r="B87">
        <v>79</v>
      </c>
      <c r="C87" s="1459">
        <v>44926</v>
      </c>
      <c r="D87" s="1070"/>
      <c r="E87" s="1070"/>
      <c r="F87" s="1295"/>
      <c r="G87" s="1295"/>
      <c r="H87" s="1295"/>
      <c r="I87" s="1295"/>
      <c r="J87" s="1295"/>
      <c r="K87" s="1461"/>
      <c r="L87" s="1462">
        <f t="shared" si="17"/>
        <v>0</v>
      </c>
      <c r="M87" s="78"/>
      <c r="N87" s="78"/>
      <c r="O87" s="78">
        <f t="shared" si="28"/>
        <v>0</v>
      </c>
      <c r="P87" s="1070">
        <f t="shared" si="18"/>
        <v>0</v>
      </c>
      <c r="Q87" s="1070">
        <f t="shared" si="19"/>
        <v>0</v>
      </c>
      <c r="R87" s="1070">
        <f t="shared" si="20"/>
        <v>0</v>
      </c>
      <c r="S87" s="1070">
        <f t="shared" si="21"/>
        <v>0</v>
      </c>
      <c r="T87" s="1070">
        <f t="shared" si="22"/>
        <v>0</v>
      </c>
      <c r="U87" s="1070">
        <f t="shared" si="23"/>
        <v>0</v>
      </c>
      <c r="V87" s="1070">
        <f t="shared" si="24"/>
        <v>0</v>
      </c>
      <c r="W87" s="1296">
        <f t="shared" si="25"/>
        <v>0</v>
      </c>
      <c r="X87" s="1462">
        <f t="shared" si="26"/>
        <v>0</v>
      </c>
      <c r="Y87" s="78">
        <f t="shared" si="27"/>
        <v>0</v>
      </c>
      <c r="Z87" s="78"/>
      <c r="AA87" s="78">
        <f t="shared" si="29"/>
        <v>0</v>
      </c>
    </row>
    <row r="88" spans="2:27">
      <c r="B88">
        <v>80</v>
      </c>
      <c r="C88" s="1459">
        <v>44926</v>
      </c>
      <c r="D88" s="1070"/>
      <c r="E88" s="1070"/>
      <c r="F88" s="1295"/>
      <c r="G88" s="1295"/>
      <c r="H88" s="1295"/>
      <c r="I88" s="1295"/>
      <c r="J88" s="1295"/>
      <c r="K88" s="1461"/>
      <c r="L88" s="1462">
        <f t="shared" si="17"/>
        <v>0</v>
      </c>
      <c r="M88" s="78"/>
      <c r="N88" s="78"/>
      <c r="O88" s="78">
        <f t="shared" si="28"/>
        <v>0</v>
      </c>
      <c r="P88" s="1070">
        <f t="shared" si="18"/>
        <v>0</v>
      </c>
      <c r="Q88" s="1070">
        <f t="shared" si="19"/>
        <v>0</v>
      </c>
      <c r="R88" s="1070">
        <f t="shared" si="20"/>
        <v>0</v>
      </c>
      <c r="S88" s="1070">
        <f t="shared" si="21"/>
        <v>0</v>
      </c>
      <c r="T88" s="1070">
        <f t="shared" si="22"/>
        <v>0</v>
      </c>
      <c r="U88" s="1070">
        <f t="shared" si="23"/>
        <v>0</v>
      </c>
      <c r="V88" s="1070">
        <f t="shared" si="24"/>
        <v>0</v>
      </c>
      <c r="W88" s="1296">
        <f t="shared" si="25"/>
        <v>0</v>
      </c>
      <c r="X88" s="1462">
        <f t="shared" si="26"/>
        <v>0</v>
      </c>
      <c r="Y88" s="78">
        <f t="shared" si="27"/>
        <v>0</v>
      </c>
      <c r="Z88" s="78"/>
      <c r="AA88" s="78">
        <f t="shared" si="29"/>
        <v>0</v>
      </c>
    </row>
    <row r="89" spans="2:27">
      <c r="B89">
        <v>81</v>
      </c>
      <c r="C89" s="1459">
        <v>44926</v>
      </c>
      <c r="D89" s="1070"/>
      <c r="E89" s="1070"/>
      <c r="F89" s="1295"/>
      <c r="G89" s="1295"/>
      <c r="H89" s="1295"/>
      <c r="I89" s="1295"/>
      <c r="J89" s="1295"/>
      <c r="K89" s="1461"/>
      <c r="L89" s="1462">
        <f t="shared" si="17"/>
        <v>0</v>
      </c>
      <c r="M89" s="78"/>
      <c r="N89" s="78"/>
      <c r="O89" s="78">
        <f t="shared" si="28"/>
        <v>0</v>
      </c>
      <c r="P89" s="1070">
        <f t="shared" si="18"/>
        <v>0</v>
      </c>
      <c r="Q89" s="1070">
        <f t="shared" si="19"/>
        <v>0</v>
      </c>
      <c r="R89" s="1070">
        <f t="shared" si="20"/>
        <v>0</v>
      </c>
      <c r="S89" s="1070">
        <f t="shared" si="21"/>
        <v>0</v>
      </c>
      <c r="T89" s="1070">
        <f t="shared" si="22"/>
        <v>0</v>
      </c>
      <c r="U89" s="1070">
        <f t="shared" si="23"/>
        <v>0</v>
      </c>
      <c r="V89" s="1070">
        <f t="shared" si="24"/>
        <v>0</v>
      </c>
      <c r="W89" s="1296">
        <f t="shared" si="25"/>
        <v>0</v>
      </c>
      <c r="X89" s="1462">
        <f t="shared" si="26"/>
        <v>0</v>
      </c>
      <c r="Y89" s="78">
        <f t="shared" si="27"/>
        <v>0</v>
      </c>
      <c r="Z89" s="78"/>
      <c r="AA89" s="78">
        <f t="shared" si="29"/>
        <v>0</v>
      </c>
    </row>
    <row r="90" spans="2:27">
      <c r="B90">
        <v>82</v>
      </c>
      <c r="C90" s="1459">
        <v>44926</v>
      </c>
      <c r="D90" s="1070"/>
      <c r="E90" s="1070"/>
      <c r="F90" s="1295"/>
      <c r="G90" s="1295"/>
      <c r="H90" s="1295"/>
      <c r="I90" s="1295"/>
      <c r="J90" s="1295"/>
      <c r="K90" s="1461"/>
      <c r="L90" s="1462">
        <f t="shared" si="17"/>
        <v>0</v>
      </c>
      <c r="M90" s="78"/>
      <c r="N90" s="78"/>
      <c r="O90" s="78">
        <f t="shared" si="28"/>
        <v>0</v>
      </c>
      <c r="P90" s="1070">
        <f t="shared" si="18"/>
        <v>0</v>
      </c>
      <c r="Q90" s="1070">
        <f t="shared" si="19"/>
        <v>0</v>
      </c>
      <c r="R90" s="1070">
        <f t="shared" si="20"/>
        <v>0</v>
      </c>
      <c r="S90" s="1070">
        <f t="shared" si="21"/>
        <v>0</v>
      </c>
      <c r="T90" s="1070">
        <f t="shared" si="22"/>
        <v>0</v>
      </c>
      <c r="U90" s="1070">
        <f t="shared" si="23"/>
        <v>0</v>
      </c>
      <c r="V90" s="1070">
        <f t="shared" si="24"/>
        <v>0</v>
      </c>
      <c r="W90" s="1296">
        <f t="shared" si="25"/>
        <v>0</v>
      </c>
      <c r="X90" s="1462">
        <f t="shared" si="26"/>
        <v>0</v>
      </c>
      <c r="Y90" s="78">
        <f t="shared" si="27"/>
        <v>0</v>
      </c>
      <c r="Z90" s="78"/>
      <c r="AA90" s="78">
        <f t="shared" si="29"/>
        <v>0</v>
      </c>
    </row>
    <row r="91" spans="2:27">
      <c r="B91">
        <v>83</v>
      </c>
      <c r="C91" s="1459">
        <v>44926</v>
      </c>
      <c r="D91" s="1070"/>
      <c r="E91" s="1070"/>
      <c r="F91" s="1295"/>
      <c r="G91" s="1295"/>
      <c r="H91" s="1295"/>
      <c r="I91" s="1295"/>
      <c r="J91" s="1295"/>
      <c r="K91" s="1461"/>
      <c r="L91" s="1462">
        <f t="shared" si="17"/>
        <v>0</v>
      </c>
      <c r="M91" s="78"/>
      <c r="N91" s="78"/>
      <c r="O91" s="78">
        <f t="shared" si="28"/>
        <v>0</v>
      </c>
      <c r="P91" s="1070">
        <f t="shared" si="18"/>
        <v>0</v>
      </c>
      <c r="Q91" s="1070">
        <f t="shared" si="19"/>
        <v>0</v>
      </c>
      <c r="R91" s="1070">
        <f t="shared" si="20"/>
        <v>0</v>
      </c>
      <c r="S91" s="1070">
        <f t="shared" si="21"/>
        <v>0</v>
      </c>
      <c r="T91" s="1070">
        <f t="shared" si="22"/>
        <v>0</v>
      </c>
      <c r="U91" s="1070">
        <f t="shared" si="23"/>
        <v>0</v>
      </c>
      <c r="V91" s="1070">
        <f t="shared" si="24"/>
        <v>0</v>
      </c>
      <c r="W91" s="1296">
        <f t="shared" si="25"/>
        <v>0</v>
      </c>
      <c r="X91" s="1462">
        <f t="shared" si="26"/>
        <v>0</v>
      </c>
      <c r="Y91" s="78">
        <f t="shared" si="27"/>
        <v>0</v>
      </c>
      <c r="Z91" s="78"/>
      <c r="AA91" s="78">
        <f t="shared" si="29"/>
        <v>0</v>
      </c>
    </row>
    <row r="92" spans="2:27">
      <c r="B92">
        <v>84</v>
      </c>
      <c r="C92" s="1459">
        <v>44926</v>
      </c>
      <c r="D92" s="1070"/>
      <c r="E92" s="1070"/>
      <c r="F92" s="1295"/>
      <c r="G92" s="1295"/>
      <c r="H92" s="1295"/>
      <c r="I92" s="1295"/>
      <c r="J92" s="1295"/>
      <c r="K92" s="1461"/>
      <c r="L92" s="1462">
        <f t="shared" si="17"/>
        <v>0</v>
      </c>
      <c r="M92" s="78"/>
      <c r="N92" s="78"/>
      <c r="O92" s="78">
        <f t="shared" si="28"/>
        <v>0</v>
      </c>
      <c r="P92" s="1070">
        <f t="shared" si="18"/>
        <v>0</v>
      </c>
      <c r="Q92" s="1070">
        <f t="shared" si="19"/>
        <v>0</v>
      </c>
      <c r="R92" s="1070">
        <f t="shared" si="20"/>
        <v>0</v>
      </c>
      <c r="S92" s="1070">
        <f t="shared" si="21"/>
        <v>0</v>
      </c>
      <c r="T92" s="1070">
        <f t="shared" si="22"/>
        <v>0</v>
      </c>
      <c r="U92" s="1070">
        <f t="shared" si="23"/>
        <v>0</v>
      </c>
      <c r="V92" s="1070">
        <f t="shared" si="24"/>
        <v>0</v>
      </c>
      <c r="W92" s="1296">
        <f t="shared" si="25"/>
        <v>0</v>
      </c>
      <c r="X92" s="1462">
        <f t="shared" si="26"/>
        <v>0</v>
      </c>
      <c r="Y92" s="78">
        <f t="shared" si="27"/>
        <v>0</v>
      </c>
      <c r="Z92" s="78"/>
      <c r="AA92" s="78">
        <f t="shared" si="29"/>
        <v>0</v>
      </c>
    </row>
    <row r="93" spans="2:27">
      <c r="B93">
        <v>85</v>
      </c>
      <c r="C93" s="1459">
        <v>44926</v>
      </c>
      <c r="D93" s="1070"/>
      <c r="E93" s="1070"/>
      <c r="F93" s="1295"/>
      <c r="G93" s="1295"/>
      <c r="H93" s="1295"/>
      <c r="I93" s="1295"/>
      <c r="J93" s="1295"/>
      <c r="K93" s="1295"/>
      <c r="L93" s="463">
        <f t="shared" si="17"/>
        <v>0</v>
      </c>
      <c r="M93" s="78">
        <v>55</v>
      </c>
      <c r="N93" s="78"/>
      <c r="O93" s="78">
        <f t="shared" si="28"/>
        <v>0</v>
      </c>
      <c r="P93" s="1070">
        <f t="shared" si="18"/>
        <v>0</v>
      </c>
      <c r="Q93" s="1070">
        <f t="shared" si="19"/>
        <v>0</v>
      </c>
      <c r="R93" s="1070">
        <f t="shared" si="20"/>
        <v>0</v>
      </c>
      <c r="S93" s="1070">
        <f t="shared" si="21"/>
        <v>0</v>
      </c>
      <c r="T93" s="1070">
        <f t="shared" si="22"/>
        <v>0</v>
      </c>
      <c r="U93" s="1070">
        <f t="shared" si="23"/>
        <v>0</v>
      </c>
      <c r="V93" s="1070">
        <f t="shared" si="24"/>
        <v>0</v>
      </c>
      <c r="W93" s="1070">
        <f t="shared" si="25"/>
        <v>0</v>
      </c>
      <c r="X93" s="463">
        <f t="shared" si="26"/>
        <v>0</v>
      </c>
      <c r="Y93" s="78">
        <f t="shared" si="27"/>
        <v>77</v>
      </c>
      <c r="Z93" s="78"/>
      <c r="AA93" s="78">
        <f t="shared" si="29"/>
        <v>0</v>
      </c>
    </row>
    <row r="94" spans="2:27">
      <c r="B94">
        <v>86</v>
      </c>
      <c r="C94" s="1459">
        <v>44926</v>
      </c>
      <c r="D94" s="1070"/>
      <c r="E94" s="1070"/>
      <c r="F94" s="1295"/>
      <c r="G94" s="1295"/>
      <c r="H94" s="1295"/>
      <c r="I94" s="1295"/>
      <c r="J94" s="1295"/>
      <c r="K94" s="1295"/>
      <c r="L94" s="463">
        <f t="shared" si="17"/>
        <v>0</v>
      </c>
      <c r="M94" s="78">
        <v>55</v>
      </c>
      <c r="N94" s="78"/>
      <c r="O94" s="78">
        <f t="shared" si="28"/>
        <v>0</v>
      </c>
      <c r="P94" s="1070">
        <f t="shared" si="18"/>
        <v>0</v>
      </c>
      <c r="Q94" s="1070">
        <f t="shared" si="19"/>
        <v>0</v>
      </c>
      <c r="R94" s="1070">
        <f t="shared" si="20"/>
        <v>0</v>
      </c>
      <c r="S94" s="1070">
        <f t="shared" si="21"/>
        <v>0</v>
      </c>
      <c r="T94" s="1070">
        <f t="shared" si="22"/>
        <v>0</v>
      </c>
      <c r="U94" s="1070">
        <f t="shared" si="23"/>
        <v>0</v>
      </c>
      <c r="V94" s="1070">
        <f t="shared" si="24"/>
        <v>0</v>
      </c>
      <c r="W94" s="1070">
        <f t="shared" si="25"/>
        <v>0</v>
      </c>
      <c r="X94" s="463">
        <f t="shared" si="26"/>
        <v>0</v>
      </c>
      <c r="Y94" s="78">
        <f t="shared" si="27"/>
        <v>77</v>
      </c>
      <c r="Z94" s="78"/>
      <c r="AA94" s="78">
        <f t="shared" si="29"/>
        <v>0</v>
      </c>
    </row>
    <row r="95" spans="2:27">
      <c r="B95">
        <v>87</v>
      </c>
      <c r="C95" s="1459">
        <v>44926</v>
      </c>
      <c r="D95" s="1070"/>
      <c r="E95" s="1070"/>
      <c r="F95" s="1295"/>
      <c r="G95" s="1295"/>
      <c r="H95" s="1295"/>
      <c r="I95" s="1295"/>
      <c r="J95" s="1295"/>
      <c r="K95" s="1295"/>
      <c r="L95" s="463">
        <f t="shared" si="17"/>
        <v>0</v>
      </c>
      <c r="M95" s="78">
        <v>55</v>
      </c>
      <c r="N95" s="78"/>
      <c r="O95" s="78">
        <f t="shared" si="28"/>
        <v>0</v>
      </c>
      <c r="P95" s="1070">
        <f t="shared" si="18"/>
        <v>0</v>
      </c>
      <c r="Q95" s="1070">
        <f t="shared" si="19"/>
        <v>0</v>
      </c>
      <c r="R95" s="1070">
        <f t="shared" si="20"/>
        <v>0</v>
      </c>
      <c r="S95" s="1070">
        <f t="shared" si="21"/>
        <v>0</v>
      </c>
      <c r="T95" s="1070">
        <f t="shared" si="22"/>
        <v>0</v>
      </c>
      <c r="U95" s="1070">
        <f t="shared" si="23"/>
        <v>0</v>
      </c>
      <c r="V95" s="1070">
        <f t="shared" si="24"/>
        <v>0</v>
      </c>
      <c r="W95" s="1070">
        <f t="shared" si="25"/>
        <v>0</v>
      </c>
      <c r="X95" s="463">
        <f t="shared" si="26"/>
        <v>0</v>
      </c>
      <c r="Y95" s="78">
        <f t="shared" si="27"/>
        <v>77</v>
      </c>
      <c r="Z95" s="78"/>
      <c r="AA95" s="78">
        <f t="shared" si="29"/>
        <v>0</v>
      </c>
    </row>
    <row r="96" spans="2:27">
      <c r="B96">
        <v>88</v>
      </c>
      <c r="C96" s="1459">
        <v>44926</v>
      </c>
      <c r="D96" s="1070"/>
      <c r="E96" s="1070"/>
      <c r="F96" s="1295"/>
      <c r="G96" s="1295"/>
      <c r="H96" s="1295"/>
      <c r="I96" s="1295"/>
      <c r="J96" s="1295">
        <v>71.95</v>
      </c>
      <c r="K96" s="1295"/>
      <c r="L96" s="463">
        <f t="shared" si="17"/>
        <v>71.95</v>
      </c>
      <c r="M96" s="78">
        <v>55</v>
      </c>
      <c r="N96" s="78"/>
      <c r="O96" s="78">
        <f t="shared" si="28"/>
        <v>3957.25</v>
      </c>
      <c r="P96" s="1070">
        <f t="shared" si="18"/>
        <v>0</v>
      </c>
      <c r="Q96" s="1070">
        <f t="shared" si="19"/>
        <v>0</v>
      </c>
      <c r="R96" s="1070">
        <f t="shared" si="20"/>
        <v>0</v>
      </c>
      <c r="S96" s="1070">
        <f t="shared" si="21"/>
        <v>0</v>
      </c>
      <c r="T96" s="1070">
        <f t="shared" si="22"/>
        <v>0</v>
      </c>
      <c r="U96" s="1070">
        <f t="shared" si="23"/>
        <v>0</v>
      </c>
      <c r="V96" s="1070">
        <f t="shared" si="24"/>
        <v>51.392857142857146</v>
      </c>
      <c r="W96" s="1070">
        <f t="shared" si="25"/>
        <v>0</v>
      </c>
      <c r="X96" s="463">
        <f t="shared" si="26"/>
        <v>51.392857142857146</v>
      </c>
      <c r="Y96" s="78">
        <f t="shared" si="27"/>
        <v>77</v>
      </c>
      <c r="Z96" s="78"/>
      <c r="AA96" s="78">
        <f t="shared" si="29"/>
        <v>3957.2500000000005</v>
      </c>
    </row>
    <row r="97" spans="2:27">
      <c r="B97">
        <v>89</v>
      </c>
      <c r="C97" s="1459">
        <v>44926</v>
      </c>
      <c r="D97" s="1070"/>
      <c r="E97" s="1070"/>
      <c r="F97" s="1295"/>
      <c r="G97" s="1295"/>
      <c r="H97" s="1295"/>
      <c r="I97" s="1295"/>
      <c r="J97" s="1295">
        <v>71.2</v>
      </c>
      <c r="K97" s="1295"/>
      <c r="L97" s="463">
        <f t="shared" si="17"/>
        <v>71.2</v>
      </c>
      <c r="M97" s="78">
        <v>55</v>
      </c>
      <c r="N97" s="78"/>
      <c r="O97" s="78">
        <f t="shared" si="28"/>
        <v>3916</v>
      </c>
      <c r="P97" s="1070">
        <f t="shared" si="18"/>
        <v>0</v>
      </c>
      <c r="Q97" s="1070">
        <f t="shared" si="19"/>
        <v>0</v>
      </c>
      <c r="R97" s="1070">
        <f t="shared" si="20"/>
        <v>0</v>
      </c>
      <c r="S97" s="1070">
        <f t="shared" si="21"/>
        <v>0</v>
      </c>
      <c r="T97" s="1070">
        <f t="shared" si="22"/>
        <v>0</v>
      </c>
      <c r="U97" s="1070">
        <f t="shared" si="23"/>
        <v>0</v>
      </c>
      <c r="V97" s="1070">
        <f t="shared" si="24"/>
        <v>50.857142857142861</v>
      </c>
      <c r="W97" s="1070">
        <f t="shared" si="25"/>
        <v>0</v>
      </c>
      <c r="X97" s="463">
        <f t="shared" si="26"/>
        <v>50.857142857142861</v>
      </c>
      <c r="Y97" s="78">
        <f t="shared" si="27"/>
        <v>77</v>
      </c>
      <c r="Z97" s="78"/>
      <c r="AA97" s="78">
        <f t="shared" si="29"/>
        <v>3916.0000000000005</v>
      </c>
    </row>
    <row r="98" spans="2:27">
      <c r="B98">
        <v>90</v>
      </c>
      <c r="C98" s="1459">
        <v>44926</v>
      </c>
      <c r="D98" s="1070"/>
      <c r="E98" s="1070"/>
      <c r="F98" s="1295"/>
      <c r="G98" s="1295"/>
      <c r="H98" s="1295"/>
      <c r="I98" s="1295"/>
      <c r="J98" s="1295">
        <v>72.28</v>
      </c>
      <c r="K98" s="1295"/>
      <c r="L98" s="463">
        <f t="shared" si="17"/>
        <v>72.28</v>
      </c>
      <c r="M98" s="78">
        <v>55</v>
      </c>
      <c r="N98" s="78"/>
      <c r="O98" s="78">
        <f t="shared" si="28"/>
        <v>3975.4</v>
      </c>
      <c r="P98" s="1070">
        <f t="shared" si="18"/>
        <v>0</v>
      </c>
      <c r="Q98" s="1070">
        <f t="shared" si="19"/>
        <v>0</v>
      </c>
      <c r="R98" s="1070">
        <f t="shared" si="20"/>
        <v>0</v>
      </c>
      <c r="S98" s="1070">
        <f t="shared" si="21"/>
        <v>0</v>
      </c>
      <c r="T98" s="1070">
        <f t="shared" si="22"/>
        <v>0</v>
      </c>
      <c r="U98" s="1070">
        <f t="shared" si="23"/>
        <v>0</v>
      </c>
      <c r="V98" s="1070">
        <f t="shared" si="24"/>
        <v>51.628571428571433</v>
      </c>
      <c r="W98" s="1070">
        <f t="shared" si="25"/>
        <v>0</v>
      </c>
      <c r="X98" s="463">
        <f t="shared" si="26"/>
        <v>51.628571428571433</v>
      </c>
      <c r="Y98" s="78">
        <f t="shared" si="27"/>
        <v>77</v>
      </c>
      <c r="Z98" s="78"/>
      <c r="AA98" s="78">
        <f t="shared" si="29"/>
        <v>3975.4000000000005</v>
      </c>
    </row>
    <row r="99" spans="2:27">
      <c r="B99">
        <v>91</v>
      </c>
      <c r="C99" s="1459">
        <v>44926</v>
      </c>
      <c r="D99" s="1070"/>
      <c r="E99" s="1070"/>
      <c r="F99" s="1295"/>
      <c r="G99" s="1295"/>
      <c r="H99" s="1295"/>
      <c r="I99" s="1295"/>
      <c r="J99" s="1295">
        <v>73.08</v>
      </c>
      <c r="K99" s="1295"/>
      <c r="L99" s="463">
        <f t="shared" si="17"/>
        <v>73.08</v>
      </c>
      <c r="M99" s="78">
        <v>55</v>
      </c>
      <c r="N99" s="78"/>
      <c r="O99" s="78">
        <f t="shared" si="28"/>
        <v>4019.4</v>
      </c>
      <c r="P99" s="1070">
        <f t="shared" si="18"/>
        <v>0</v>
      </c>
      <c r="Q99" s="1070">
        <f t="shared" si="19"/>
        <v>0</v>
      </c>
      <c r="R99" s="1070">
        <f t="shared" si="20"/>
        <v>0</v>
      </c>
      <c r="S99" s="1070">
        <f t="shared" si="21"/>
        <v>0</v>
      </c>
      <c r="T99" s="1070">
        <f t="shared" si="22"/>
        <v>0</v>
      </c>
      <c r="U99" s="1070">
        <f t="shared" si="23"/>
        <v>0</v>
      </c>
      <c r="V99" s="1070">
        <f t="shared" si="24"/>
        <v>52.2</v>
      </c>
      <c r="W99" s="1070">
        <f t="shared" si="25"/>
        <v>0</v>
      </c>
      <c r="X99" s="463">
        <f t="shared" si="26"/>
        <v>52.2</v>
      </c>
      <c r="Y99" s="78">
        <f t="shared" si="27"/>
        <v>77</v>
      </c>
      <c r="Z99" s="78"/>
      <c r="AA99" s="78">
        <f t="shared" si="29"/>
        <v>4019.4</v>
      </c>
    </row>
    <row r="100" spans="2:27">
      <c r="B100">
        <v>92</v>
      </c>
      <c r="C100" s="1459">
        <v>44926</v>
      </c>
      <c r="D100" s="1070"/>
      <c r="E100" s="1070"/>
      <c r="F100" s="1295"/>
      <c r="G100" s="1295"/>
      <c r="H100" s="1295"/>
      <c r="I100" s="1295"/>
      <c r="J100" s="1295">
        <v>70.680000000000007</v>
      </c>
      <c r="K100" s="1295"/>
      <c r="L100" s="463">
        <f t="shared" si="17"/>
        <v>70.680000000000007</v>
      </c>
      <c r="M100" s="78">
        <v>55</v>
      </c>
      <c r="N100" s="78"/>
      <c r="O100" s="78">
        <f t="shared" si="28"/>
        <v>3887.4000000000005</v>
      </c>
      <c r="P100" s="1070">
        <f t="shared" si="18"/>
        <v>0</v>
      </c>
      <c r="Q100" s="1070">
        <f t="shared" si="19"/>
        <v>0</v>
      </c>
      <c r="R100" s="1070">
        <f t="shared" si="20"/>
        <v>0</v>
      </c>
      <c r="S100" s="1070">
        <f t="shared" si="21"/>
        <v>0</v>
      </c>
      <c r="T100" s="1070">
        <f t="shared" si="22"/>
        <v>0</v>
      </c>
      <c r="U100" s="1070">
        <f t="shared" si="23"/>
        <v>0</v>
      </c>
      <c r="V100" s="1070">
        <f t="shared" si="24"/>
        <v>50.485714285714295</v>
      </c>
      <c r="W100" s="1070">
        <f t="shared" si="25"/>
        <v>0</v>
      </c>
      <c r="X100" s="463">
        <f t="shared" si="26"/>
        <v>50.485714285714295</v>
      </c>
      <c r="Y100" s="78">
        <f t="shared" si="27"/>
        <v>77</v>
      </c>
      <c r="Z100" s="78"/>
      <c r="AA100" s="78">
        <f t="shared" si="29"/>
        <v>3887.4000000000005</v>
      </c>
    </row>
    <row r="101" spans="2:27">
      <c r="B101">
        <v>93</v>
      </c>
      <c r="C101" s="1459">
        <v>44926</v>
      </c>
      <c r="D101" s="1070"/>
      <c r="E101" s="1070"/>
      <c r="F101" s="1295"/>
      <c r="G101" s="1295"/>
      <c r="H101" s="1295"/>
      <c r="I101" s="1295"/>
      <c r="J101" s="1295">
        <v>73.3</v>
      </c>
      <c r="K101" s="1295"/>
      <c r="L101" s="463">
        <f t="shared" si="17"/>
        <v>73.3</v>
      </c>
      <c r="M101" s="78">
        <v>55</v>
      </c>
      <c r="N101" s="78"/>
      <c r="O101" s="78">
        <f t="shared" si="28"/>
        <v>4031.5</v>
      </c>
      <c r="P101" s="1070">
        <f t="shared" si="18"/>
        <v>0</v>
      </c>
      <c r="Q101" s="1070">
        <f t="shared" si="19"/>
        <v>0</v>
      </c>
      <c r="R101" s="1070">
        <f t="shared" si="20"/>
        <v>0</v>
      </c>
      <c r="S101" s="1070">
        <f t="shared" si="21"/>
        <v>0</v>
      </c>
      <c r="T101" s="1070">
        <f t="shared" si="22"/>
        <v>0</v>
      </c>
      <c r="U101" s="1070">
        <f t="shared" si="23"/>
        <v>0</v>
      </c>
      <c r="V101" s="1070">
        <f t="shared" si="24"/>
        <v>52.357142857142861</v>
      </c>
      <c r="W101" s="1070">
        <f t="shared" si="25"/>
        <v>0</v>
      </c>
      <c r="X101" s="463">
        <f t="shared" si="26"/>
        <v>52.357142857142861</v>
      </c>
      <c r="Y101" s="78">
        <f t="shared" si="27"/>
        <v>77</v>
      </c>
      <c r="Z101" s="78"/>
      <c r="AA101" s="78">
        <f t="shared" si="29"/>
        <v>4031.5000000000005</v>
      </c>
    </row>
    <row r="102" spans="2:27">
      <c r="B102">
        <v>94</v>
      </c>
      <c r="C102" s="1459">
        <v>44926</v>
      </c>
      <c r="D102" s="1070"/>
      <c r="E102" s="1070"/>
      <c r="F102" s="1295"/>
      <c r="G102" s="1295"/>
      <c r="H102" s="1295"/>
      <c r="I102" s="1295"/>
      <c r="J102" s="1295">
        <v>73.02</v>
      </c>
      <c r="K102" s="1295"/>
      <c r="L102" s="463">
        <f t="shared" si="17"/>
        <v>73.02</v>
      </c>
      <c r="M102" s="78">
        <v>55</v>
      </c>
      <c r="N102" s="78"/>
      <c r="O102" s="78">
        <f t="shared" si="28"/>
        <v>4016.1</v>
      </c>
      <c r="P102" s="1070">
        <f t="shared" si="18"/>
        <v>0</v>
      </c>
      <c r="Q102" s="1070">
        <f t="shared" si="19"/>
        <v>0</v>
      </c>
      <c r="R102" s="1070">
        <f t="shared" si="20"/>
        <v>0</v>
      </c>
      <c r="S102" s="1070">
        <f t="shared" si="21"/>
        <v>0</v>
      </c>
      <c r="T102" s="1070">
        <f t="shared" si="22"/>
        <v>0</v>
      </c>
      <c r="U102" s="1070">
        <f t="shared" si="23"/>
        <v>0</v>
      </c>
      <c r="V102" s="1070">
        <f t="shared" si="24"/>
        <v>52.157142857142858</v>
      </c>
      <c r="W102" s="1070">
        <f t="shared" si="25"/>
        <v>0</v>
      </c>
      <c r="X102" s="463">
        <f t="shared" si="26"/>
        <v>52.157142857142858</v>
      </c>
      <c r="Y102" s="78">
        <f t="shared" si="27"/>
        <v>77</v>
      </c>
      <c r="Z102" s="78"/>
      <c r="AA102" s="78">
        <f t="shared" si="29"/>
        <v>4016.1</v>
      </c>
    </row>
    <row r="103" spans="2:27">
      <c r="B103">
        <v>95</v>
      </c>
      <c r="C103" s="1459">
        <v>44926</v>
      </c>
      <c r="D103" s="1070"/>
      <c r="E103" s="1070"/>
      <c r="F103" s="1295"/>
      <c r="G103" s="1295"/>
      <c r="H103" s="1295"/>
      <c r="I103" s="1295"/>
      <c r="J103" s="1295">
        <v>71.02</v>
      </c>
      <c r="K103" s="1295"/>
      <c r="L103" s="463">
        <f t="shared" si="17"/>
        <v>71.02</v>
      </c>
      <c r="M103" s="78">
        <v>55</v>
      </c>
      <c r="N103" s="78"/>
      <c r="O103" s="78">
        <f t="shared" si="28"/>
        <v>3906.1</v>
      </c>
      <c r="P103" s="1070">
        <f t="shared" si="18"/>
        <v>0</v>
      </c>
      <c r="Q103" s="1070">
        <f t="shared" si="19"/>
        <v>0</v>
      </c>
      <c r="R103" s="1070">
        <f t="shared" si="20"/>
        <v>0</v>
      </c>
      <c r="S103" s="1070">
        <f t="shared" si="21"/>
        <v>0</v>
      </c>
      <c r="T103" s="1070">
        <f t="shared" si="22"/>
        <v>0</v>
      </c>
      <c r="U103" s="1070">
        <f t="shared" si="23"/>
        <v>0</v>
      </c>
      <c r="V103" s="1070">
        <f t="shared" si="24"/>
        <v>50.728571428571428</v>
      </c>
      <c r="W103" s="1070">
        <f t="shared" si="25"/>
        <v>0</v>
      </c>
      <c r="X103" s="463">
        <f t="shared" si="26"/>
        <v>50.728571428571428</v>
      </c>
      <c r="Y103" s="78">
        <f t="shared" si="27"/>
        <v>77</v>
      </c>
      <c r="Z103" s="78"/>
      <c r="AA103" s="78">
        <f t="shared" si="29"/>
        <v>3906.1</v>
      </c>
    </row>
    <row r="104" spans="2:27">
      <c r="B104">
        <v>96</v>
      </c>
      <c r="C104" s="1459">
        <v>44926</v>
      </c>
      <c r="D104" s="1070"/>
      <c r="E104" s="1070"/>
      <c r="F104" s="1295"/>
      <c r="G104" s="1295"/>
      <c r="H104" s="1295"/>
      <c r="I104" s="1295"/>
      <c r="J104" s="1295">
        <v>71.48</v>
      </c>
      <c r="K104" s="1295"/>
      <c r="L104" s="463">
        <f t="shared" si="17"/>
        <v>71.48</v>
      </c>
      <c r="M104" s="78">
        <v>55</v>
      </c>
      <c r="N104" s="78"/>
      <c r="O104" s="78">
        <f t="shared" si="28"/>
        <v>3931.4</v>
      </c>
      <c r="P104" s="1070">
        <f t="shared" si="18"/>
        <v>0</v>
      </c>
      <c r="Q104" s="1070">
        <f t="shared" si="19"/>
        <v>0</v>
      </c>
      <c r="R104" s="1070">
        <f t="shared" si="20"/>
        <v>0</v>
      </c>
      <c r="S104" s="1070">
        <f t="shared" si="21"/>
        <v>0</v>
      </c>
      <c r="T104" s="1070">
        <f t="shared" si="22"/>
        <v>0</v>
      </c>
      <c r="U104" s="1070">
        <f t="shared" si="23"/>
        <v>0</v>
      </c>
      <c r="V104" s="1070">
        <f t="shared" si="24"/>
        <v>51.057142857142864</v>
      </c>
      <c r="W104" s="1070">
        <f t="shared" si="25"/>
        <v>0</v>
      </c>
      <c r="X104" s="463">
        <f t="shared" si="26"/>
        <v>51.057142857142864</v>
      </c>
      <c r="Y104" s="78">
        <f t="shared" si="27"/>
        <v>77</v>
      </c>
      <c r="Z104" s="78"/>
      <c r="AA104" s="78">
        <f t="shared" si="29"/>
        <v>3931.4000000000005</v>
      </c>
    </row>
    <row r="105" spans="2:27">
      <c r="B105">
        <v>97</v>
      </c>
      <c r="C105" s="1459">
        <v>44926</v>
      </c>
      <c r="D105" s="1070"/>
      <c r="E105" s="1070"/>
      <c r="F105" s="1295"/>
      <c r="G105" s="1295"/>
      <c r="H105" s="1295"/>
      <c r="I105" s="1295"/>
      <c r="J105" s="1295">
        <v>71.78</v>
      </c>
      <c r="K105" s="1295"/>
      <c r="L105" s="463">
        <f t="shared" si="17"/>
        <v>71.78</v>
      </c>
      <c r="M105" s="78">
        <v>55</v>
      </c>
      <c r="N105" s="78"/>
      <c r="O105" s="78">
        <f t="shared" si="28"/>
        <v>3947.9</v>
      </c>
      <c r="P105" s="1070">
        <f t="shared" si="18"/>
        <v>0</v>
      </c>
      <c r="Q105" s="1070">
        <f t="shared" si="19"/>
        <v>0</v>
      </c>
      <c r="R105" s="1070">
        <f t="shared" si="20"/>
        <v>0</v>
      </c>
      <c r="S105" s="1070">
        <f t="shared" si="21"/>
        <v>0</v>
      </c>
      <c r="T105" s="1070">
        <f t="shared" si="22"/>
        <v>0</v>
      </c>
      <c r="U105" s="1070">
        <f t="shared" si="23"/>
        <v>0</v>
      </c>
      <c r="V105" s="1070">
        <f t="shared" si="24"/>
        <v>51.271428571428572</v>
      </c>
      <c r="W105" s="1070">
        <f t="shared" si="25"/>
        <v>0</v>
      </c>
      <c r="X105" s="463">
        <f t="shared" si="26"/>
        <v>51.271428571428572</v>
      </c>
      <c r="Y105" s="78">
        <f t="shared" si="27"/>
        <v>77</v>
      </c>
      <c r="Z105" s="78"/>
      <c r="AA105" s="78">
        <f t="shared" si="29"/>
        <v>3947.9</v>
      </c>
    </row>
    <row r="106" spans="2:27">
      <c r="B106">
        <v>98</v>
      </c>
      <c r="C106" s="1459">
        <v>44926</v>
      </c>
      <c r="D106" s="1070"/>
      <c r="E106" s="1070"/>
      <c r="F106" s="1295"/>
      <c r="G106" s="1295"/>
      <c r="H106" s="1295"/>
      <c r="I106" s="1295"/>
      <c r="J106" s="1295">
        <v>72.540000000000006</v>
      </c>
      <c r="K106" s="1295"/>
      <c r="L106" s="463">
        <f t="shared" si="17"/>
        <v>72.540000000000006</v>
      </c>
      <c r="M106" s="78">
        <v>55</v>
      </c>
      <c r="N106" s="78"/>
      <c r="O106" s="78">
        <f t="shared" si="28"/>
        <v>3989.7000000000003</v>
      </c>
      <c r="P106" s="1070">
        <f t="shared" si="18"/>
        <v>0</v>
      </c>
      <c r="Q106" s="1070">
        <f t="shared" si="19"/>
        <v>0</v>
      </c>
      <c r="R106" s="1070">
        <f t="shared" si="20"/>
        <v>0</v>
      </c>
      <c r="S106" s="1070">
        <f t="shared" si="21"/>
        <v>0</v>
      </c>
      <c r="T106" s="1070">
        <f t="shared" si="22"/>
        <v>0</v>
      </c>
      <c r="U106" s="1070">
        <f t="shared" si="23"/>
        <v>0</v>
      </c>
      <c r="V106" s="1070">
        <f t="shared" si="24"/>
        <v>51.814285714285724</v>
      </c>
      <c r="W106" s="1070">
        <f t="shared" si="25"/>
        <v>0</v>
      </c>
      <c r="X106" s="463">
        <f t="shared" si="26"/>
        <v>51.814285714285724</v>
      </c>
      <c r="Y106" s="78">
        <f t="shared" si="27"/>
        <v>77</v>
      </c>
      <c r="Z106" s="78"/>
      <c r="AA106" s="78">
        <f t="shared" si="29"/>
        <v>3989.7000000000007</v>
      </c>
    </row>
    <row r="107" spans="2:27">
      <c r="B107">
        <v>99</v>
      </c>
      <c r="C107" s="1459">
        <v>44926</v>
      </c>
      <c r="D107" s="1070"/>
      <c r="E107" s="1070"/>
      <c r="F107" s="1295"/>
      <c r="G107" s="1295"/>
      <c r="H107" s="1295"/>
      <c r="I107" s="1295"/>
      <c r="J107" s="1295">
        <v>70.239999999999995</v>
      </c>
      <c r="K107" s="1295"/>
      <c r="L107" s="463">
        <f t="shared" si="17"/>
        <v>70.239999999999995</v>
      </c>
      <c r="M107" s="78">
        <v>55</v>
      </c>
      <c r="N107" s="78"/>
      <c r="O107" s="78">
        <f t="shared" si="28"/>
        <v>3863.2</v>
      </c>
      <c r="P107" s="1070">
        <f t="shared" si="18"/>
        <v>0</v>
      </c>
      <c r="Q107" s="1070">
        <f t="shared" si="19"/>
        <v>0</v>
      </c>
      <c r="R107" s="1070">
        <f t="shared" si="20"/>
        <v>0</v>
      </c>
      <c r="S107" s="1070">
        <f t="shared" si="21"/>
        <v>0</v>
      </c>
      <c r="T107" s="1070">
        <f t="shared" si="22"/>
        <v>0</v>
      </c>
      <c r="U107" s="1070">
        <f t="shared" si="23"/>
        <v>0</v>
      </c>
      <c r="V107" s="1070">
        <f t="shared" si="24"/>
        <v>50.171428571428571</v>
      </c>
      <c r="W107" s="1070">
        <f t="shared" si="25"/>
        <v>0</v>
      </c>
      <c r="X107" s="463">
        <f t="shared" si="26"/>
        <v>50.171428571428571</v>
      </c>
      <c r="Y107" s="78">
        <f t="shared" si="27"/>
        <v>77</v>
      </c>
      <c r="Z107" s="78"/>
      <c r="AA107" s="78">
        <f t="shared" si="29"/>
        <v>3863.2</v>
      </c>
    </row>
    <row r="108" spans="2:27">
      <c r="B108">
        <v>100</v>
      </c>
      <c r="C108" s="1459">
        <v>44926</v>
      </c>
      <c r="D108" s="1070"/>
      <c r="E108" s="1070"/>
      <c r="F108" s="1295"/>
      <c r="G108" s="1295"/>
      <c r="H108" s="1295"/>
      <c r="I108" s="1295"/>
      <c r="J108" s="1295">
        <v>69.099999999999994</v>
      </c>
      <c r="K108" s="1295"/>
      <c r="L108" s="463">
        <f t="shared" si="17"/>
        <v>69.099999999999994</v>
      </c>
      <c r="M108" s="78">
        <v>55</v>
      </c>
      <c r="N108" s="78"/>
      <c r="O108" s="78">
        <f t="shared" si="28"/>
        <v>3800.4999999999995</v>
      </c>
      <c r="P108" s="1070">
        <f t="shared" si="18"/>
        <v>0</v>
      </c>
      <c r="Q108" s="1070">
        <f t="shared" si="19"/>
        <v>0</v>
      </c>
      <c r="R108" s="1070">
        <f t="shared" si="20"/>
        <v>0</v>
      </c>
      <c r="S108" s="1070">
        <f t="shared" si="21"/>
        <v>0</v>
      </c>
      <c r="T108" s="1070">
        <f t="shared" si="22"/>
        <v>0</v>
      </c>
      <c r="U108" s="1070">
        <f t="shared" si="23"/>
        <v>0</v>
      </c>
      <c r="V108" s="1070">
        <f t="shared" si="24"/>
        <v>49.357142857142854</v>
      </c>
      <c r="W108" s="1070">
        <f t="shared" si="25"/>
        <v>0</v>
      </c>
      <c r="X108" s="463">
        <f t="shared" si="26"/>
        <v>49.357142857142854</v>
      </c>
      <c r="Y108" s="78">
        <f t="shared" si="27"/>
        <v>77</v>
      </c>
      <c r="Z108" s="78"/>
      <c r="AA108" s="78">
        <f t="shared" si="29"/>
        <v>3800.4999999999995</v>
      </c>
    </row>
    <row r="109" spans="2:27">
      <c r="B109">
        <v>101</v>
      </c>
      <c r="C109" s="1459">
        <v>44926</v>
      </c>
      <c r="D109" s="1070"/>
      <c r="E109" s="1070"/>
      <c r="F109" s="1295"/>
      <c r="G109" s="1295"/>
      <c r="H109" s="1295"/>
      <c r="I109" s="1295"/>
      <c r="J109" s="1295">
        <v>71.06</v>
      </c>
      <c r="K109" s="1295"/>
      <c r="L109" s="463">
        <f t="shared" si="17"/>
        <v>71.06</v>
      </c>
      <c r="M109" s="78">
        <v>55</v>
      </c>
      <c r="N109" s="78"/>
      <c r="O109" s="78">
        <f t="shared" si="28"/>
        <v>3908.3</v>
      </c>
      <c r="P109" s="1070">
        <f t="shared" si="18"/>
        <v>0</v>
      </c>
      <c r="Q109" s="1070">
        <f t="shared" si="19"/>
        <v>0</v>
      </c>
      <c r="R109" s="1070">
        <f t="shared" si="20"/>
        <v>0</v>
      </c>
      <c r="S109" s="1070">
        <f t="shared" si="21"/>
        <v>0</v>
      </c>
      <c r="T109" s="1070">
        <f t="shared" si="22"/>
        <v>0</v>
      </c>
      <c r="U109" s="1070">
        <f t="shared" si="23"/>
        <v>0</v>
      </c>
      <c r="V109" s="1070">
        <f t="shared" si="24"/>
        <v>50.75714285714286</v>
      </c>
      <c r="W109" s="1070">
        <f t="shared" si="25"/>
        <v>0</v>
      </c>
      <c r="X109" s="463">
        <f t="shared" si="26"/>
        <v>50.75714285714286</v>
      </c>
      <c r="Y109" s="78">
        <f t="shared" si="27"/>
        <v>77</v>
      </c>
      <c r="Z109" s="78"/>
      <c r="AA109" s="78">
        <f t="shared" si="29"/>
        <v>3908.3</v>
      </c>
    </row>
    <row r="110" spans="2:27">
      <c r="B110">
        <v>102</v>
      </c>
      <c r="C110" s="1459">
        <v>44926</v>
      </c>
      <c r="D110" s="1070"/>
      <c r="E110" s="1070"/>
      <c r="F110" s="1295"/>
      <c r="G110" s="1295"/>
      <c r="H110" s="1295"/>
      <c r="I110" s="1295"/>
      <c r="J110" s="1295">
        <v>70.28</v>
      </c>
      <c r="K110" s="1295"/>
      <c r="L110" s="463">
        <f t="shared" si="17"/>
        <v>70.28</v>
      </c>
      <c r="M110" s="78">
        <v>55</v>
      </c>
      <c r="N110" s="78"/>
      <c r="O110" s="78">
        <f t="shared" si="28"/>
        <v>3865.4</v>
      </c>
      <c r="P110" s="1070">
        <f t="shared" si="18"/>
        <v>0</v>
      </c>
      <c r="Q110" s="1070">
        <f t="shared" si="19"/>
        <v>0</v>
      </c>
      <c r="R110" s="1070">
        <f t="shared" si="20"/>
        <v>0</v>
      </c>
      <c r="S110" s="1070">
        <f t="shared" si="21"/>
        <v>0</v>
      </c>
      <c r="T110" s="1070">
        <f t="shared" si="22"/>
        <v>0</v>
      </c>
      <c r="U110" s="1070">
        <f t="shared" si="23"/>
        <v>0</v>
      </c>
      <c r="V110" s="1070">
        <f t="shared" si="24"/>
        <v>50.2</v>
      </c>
      <c r="W110" s="1070">
        <f t="shared" si="25"/>
        <v>0</v>
      </c>
      <c r="X110" s="463">
        <f t="shared" si="26"/>
        <v>50.2</v>
      </c>
      <c r="Y110" s="78">
        <f t="shared" si="27"/>
        <v>77</v>
      </c>
      <c r="Z110" s="78"/>
      <c r="AA110" s="78">
        <f t="shared" si="29"/>
        <v>3865.4</v>
      </c>
    </row>
    <row r="111" spans="2:27">
      <c r="B111">
        <v>103</v>
      </c>
      <c r="C111" s="1459">
        <v>44926</v>
      </c>
      <c r="D111" s="1070"/>
      <c r="E111" s="1070"/>
      <c r="F111" s="1295"/>
      <c r="G111" s="1295"/>
      <c r="H111" s="1295"/>
      <c r="I111" s="1295"/>
      <c r="J111" s="1295">
        <v>70.66</v>
      </c>
      <c r="K111" s="1295"/>
      <c r="L111" s="463">
        <f t="shared" si="17"/>
        <v>70.66</v>
      </c>
      <c r="M111" s="78">
        <v>55</v>
      </c>
      <c r="N111" s="78"/>
      <c r="O111" s="78">
        <f t="shared" si="28"/>
        <v>3886.2999999999997</v>
      </c>
      <c r="P111" s="1070">
        <f t="shared" si="18"/>
        <v>0</v>
      </c>
      <c r="Q111" s="1070">
        <f t="shared" si="19"/>
        <v>0</v>
      </c>
      <c r="R111" s="1070">
        <f t="shared" si="20"/>
        <v>0</v>
      </c>
      <c r="S111" s="1070">
        <f t="shared" si="21"/>
        <v>0</v>
      </c>
      <c r="T111" s="1070">
        <f t="shared" si="22"/>
        <v>0</v>
      </c>
      <c r="U111" s="1070">
        <f t="shared" si="23"/>
        <v>0</v>
      </c>
      <c r="V111" s="1070">
        <f t="shared" si="24"/>
        <v>50.471428571428575</v>
      </c>
      <c r="W111" s="1070">
        <f t="shared" si="25"/>
        <v>0</v>
      </c>
      <c r="X111" s="463">
        <f t="shared" si="26"/>
        <v>50.471428571428575</v>
      </c>
      <c r="Y111" s="78">
        <f t="shared" si="27"/>
        <v>77</v>
      </c>
      <c r="Z111" s="78"/>
      <c r="AA111" s="78">
        <f t="shared" si="29"/>
        <v>3886.3</v>
      </c>
    </row>
    <row r="112" spans="2:27">
      <c r="B112">
        <v>104</v>
      </c>
      <c r="C112" s="1459">
        <v>44926</v>
      </c>
      <c r="D112" s="1070"/>
      <c r="E112" s="1070"/>
      <c r="F112" s="1295"/>
      <c r="G112" s="1295"/>
      <c r="H112" s="1295"/>
      <c r="I112" s="1295"/>
      <c r="J112" s="1295">
        <v>69.56</v>
      </c>
      <c r="K112" s="1295"/>
      <c r="L112" s="463">
        <f t="shared" si="17"/>
        <v>69.56</v>
      </c>
      <c r="M112" s="78">
        <v>55</v>
      </c>
      <c r="N112" s="78"/>
      <c r="O112" s="78">
        <f t="shared" si="28"/>
        <v>3825.8</v>
      </c>
      <c r="P112" s="1070">
        <f t="shared" si="18"/>
        <v>0</v>
      </c>
      <c r="Q112" s="1070">
        <f t="shared" si="19"/>
        <v>0</v>
      </c>
      <c r="R112" s="1070">
        <f t="shared" si="20"/>
        <v>0</v>
      </c>
      <c r="S112" s="1070">
        <f t="shared" si="21"/>
        <v>0</v>
      </c>
      <c r="T112" s="1070">
        <f t="shared" si="22"/>
        <v>0</v>
      </c>
      <c r="U112" s="1070">
        <f t="shared" si="23"/>
        <v>0</v>
      </c>
      <c r="V112" s="1070">
        <f t="shared" si="24"/>
        <v>49.68571428571429</v>
      </c>
      <c r="W112" s="1070">
        <f t="shared" si="25"/>
        <v>0</v>
      </c>
      <c r="X112" s="463">
        <f t="shared" si="26"/>
        <v>49.68571428571429</v>
      </c>
      <c r="Y112" s="78">
        <f t="shared" si="27"/>
        <v>77</v>
      </c>
      <c r="Z112" s="78"/>
      <c r="AA112" s="78">
        <f t="shared" si="29"/>
        <v>3825.8</v>
      </c>
    </row>
    <row r="113" spans="2:27">
      <c r="B113">
        <v>105</v>
      </c>
      <c r="C113" s="1459">
        <v>44926</v>
      </c>
      <c r="D113" s="1070"/>
      <c r="E113" s="1070"/>
      <c r="F113" s="1295"/>
      <c r="G113" s="1295"/>
      <c r="H113" s="1295"/>
      <c r="I113" s="1295"/>
      <c r="J113" s="1295">
        <v>47.3</v>
      </c>
      <c r="K113" s="1295"/>
      <c r="L113" s="463">
        <f t="shared" si="17"/>
        <v>47.3</v>
      </c>
      <c r="M113" s="78">
        <v>55</v>
      </c>
      <c r="N113" s="78"/>
      <c r="O113" s="78">
        <f t="shared" si="28"/>
        <v>2601.5</v>
      </c>
      <c r="P113" s="1070">
        <f t="shared" si="18"/>
        <v>0</v>
      </c>
      <c r="Q113" s="1070">
        <f t="shared" si="19"/>
        <v>0</v>
      </c>
      <c r="R113" s="1070">
        <f t="shared" si="20"/>
        <v>0</v>
      </c>
      <c r="S113" s="1070">
        <f t="shared" si="21"/>
        <v>0</v>
      </c>
      <c r="T113" s="1070">
        <f t="shared" si="22"/>
        <v>0</v>
      </c>
      <c r="U113" s="1070">
        <f t="shared" si="23"/>
        <v>0</v>
      </c>
      <c r="V113" s="1070">
        <f t="shared" si="24"/>
        <v>33.785714285714285</v>
      </c>
      <c r="W113" s="1070">
        <f t="shared" si="25"/>
        <v>0</v>
      </c>
      <c r="X113" s="463">
        <f t="shared" si="26"/>
        <v>33.785714285714285</v>
      </c>
      <c r="Y113" s="78">
        <f t="shared" si="27"/>
        <v>77</v>
      </c>
      <c r="Z113" s="78"/>
      <c r="AA113" s="78">
        <f t="shared" si="29"/>
        <v>2601.5</v>
      </c>
    </row>
    <row r="114" spans="2:27">
      <c r="B114">
        <v>106</v>
      </c>
      <c r="C114" s="1459">
        <v>44926</v>
      </c>
      <c r="D114" s="1070"/>
      <c r="E114" s="1070"/>
      <c r="F114" s="1295"/>
      <c r="G114" s="1295"/>
      <c r="H114" s="1295"/>
      <c r="I114" s="1295"/>
      <c r="J114" s="1295">
        <v>72.319999999999993</v>
      </c>
      <c r="K114" s="1295"/>
      <c r="L114" s="463">
        <f t="shared" si="17"/>
        <v>72.319999999999993</v>
      </c>
      <c r="M114" s="78">
        <v>55</v>
      </c>
      <c r="N114" s="78"/>
      <c r="O114" s="78">
        <f t="shared" si="28"/>
        <v>3977.5999999999995</v>
      </c>
      <c r="P114" s="1070">
        <f t="shared" si="18"/>
        <v>0</v>
      </c>
      <c r="Q114" s="1070">
        <f t="shared" si="19"/>
        <v>0</v>
      </c>
      <c r="R114" s="1070">
        <f t="shared" si="20"/>
        <v>0</v>
      </c>
      <c r="S114" s="1070">
        <f t="shared" si="21"/>
        <v>0</v>
      </c>
      <c r="T114" s="1070">
        <f t="shared" si="22"/>
        <v>0</v>
      </c>
      <c r="U114" s="1070">
        <f t="shared" si="23"/>
        <v>0</v>
      </c>
      <c r="V114" s="1070">
        <f t="shared" si="24"/>
        <v>51.657142857142858</v>
      </c>
      <c r="W114" s="1070">
        <f t="shared" si="25"/>
        <v>0</v>
      </c>
      <c r="X114" s="463">
        <f t="shared" si="26"/>
        <v>51.657142857142858</v>
      </c>
      <c r="Y114" s="78">
        <f t="shared" si="27"/>
        <v>77</v>
      </c>
      <c r="Z114" s="78"/>
      <c r="AA114" s="78">
        <f t="shared" si="29"/>
        <v>3977.6</v>
      </c>
    </row>
    <row r="115" spans="2:27">
      <c r="B115">
        <v>107</v>
      </c>
      <c r="C115" s="1459">
        <v>44926</v>
      </c>
      <c r="D115" s="1070"/>
      <c r="E115" s="1070"/>
      <c r="F115" s="1295"/>
      <c r="G115" s="1295"/>
      <c r="H115" s="1295"/>
      <c r="I115" s="1295"/>
      <c r="J115" s="1295">
        <v>66.14</v>
      </c>
      <c r="K115" s="1295"/>
      <c r="L115" s="463">
        <f t="shared" si="17"/>
        <v>66.14</v>
      </c>
      <c r="M115" s="78">
        <v>55</v>
      </c>
      <c r="N115" s="78"/>
      <c r="O115" s="78">
        <f t="shared" si="28"/>
        <v>3637.7</v>
      </c>
      <c r="P115" s="1070">
        <f t="shared" si="18"/>
        <v>0</v>
      </c>
      <c r="Q115" s="1070">
        <f t="shared" si="19"/>
        <v>0</v>
      </c>
      <c r="R115" s="1070">
        <f t="shared" si="20"/>
        <v>0</v>
      </c>
      <c r="S115" s="1070">
        <f t="shared" si="21"/>
        <v>0</v>
      </c>
      <c r="T115" s="1070">
        <f t="shared" si="22"/>
        <v>0</v>
      </c>
      <c r="U115" s="1070">
        <f t="shared" si="23"/>
        <v>0</v>
      </c>
      <c r="V115" s="1070">
        <f t="shared" si="24"/>
        <v>47.242857142857147</v>
      </c>
      <c r="W115" s="1070">
        <f t="shared" si="25"/>
        <v>0</v>
      </c>
      <c r="X115" s="463">
        <f t="shared" si="26"/>
        <v>47.242857142857147</v>
      </c>
      <c r="Y115" s="78">
        <f t="shared" si="27"/>
        <v>77</v>
      </c>
      <c r="Z115" s="78"/>
      <c r="AA115" s="78">
        <f t="shared" si="29"/>
        <v>3637.7000000000003</v>
      </c>
    </row>
    <row r="116" spans="2:27">
      <c r="B116">
        <v>108</v>
      </c>
      <c r="C116" s="1459">
        <v>44926</v>
      </c>
      <c r="D116" s="1070"/>
      <c r="E116" s="1070"/>
      <c r="F116" s="1295"/>
      <c r="G116" s="1295"/>
      <c r="H116" s="1295"/>
      <c r="I116" s="1295"/>
      <c r="J116" s="1295">
        <v>69.78</v>
      </c>
      <c r="K116" s="1295"/>
      <c r="L116" s="463">
        <f t="shared" si="17"/>
        <v>69.78</v>
      </c>
      <c r="M116" s="78">
        <v>55</v>
      </c>
      <c r="N116" s="78"/>
      <c r="O116" s="78">
        <f t="shared" si="28"/>
        <v>3837.9</v>
      </c>
      <c r="P116" s="1070">
        <f t="shared" si="18"/>
        <v>0</v>
      </c>
      <c r="Q116" s="1070">
        <f t="shared" si="19"/>
        <v>0</v>
      </c>
      <c r="R116" s="1070">
        <f t="shared" si="20"/>
        <v>0</v>
      </c>
      <c r="S116" s="1070">
        <f t="shared" si="21"/>
        <v>0</v>
      </c>
      <c r="T116" s="1070">
        <f t="shared" si="22"/>
        <v>0</v>
      </c>
      <c r="U116" s="1070">
        <f t="shared" si="23"/>
        <v>0</v>
      </c>
      <c r="V116" s="1070">
        <f t="shared" si="24"/>
        <v>49.842857142857149</v>
      </c>
      <c r="W116" s="1070">
        <f t="shared" si="25"/>
        <v>0</v>
      </c>
      <c r="X116" s="463">
        <f t="shared" si="26"/>
        <v>49.842857142857149</v>
      </c>
      <c r="Y116" s="78">
        <f t="shared" si="27"/>
        <v>77</v>
      </c>
      <c r="Z116" s="78"/>
      <c r="AA116" s="78">
        <f t="shared" si="29"/>
        <v>3837.9000000000005</v>
      </c>
    </row>
    <row r="117" spans="2:27">
      <c r="B117">
        <v>109</v>
      </c>
      <c r="C117" s="1459">
        <v>44926</v>
      </c>
      <c r="D117" s="1070"/>
      <c r="E117" s="1070"/>
      <c r="F117" s="1295"/>
      <c r="G117" s="1295"/>
      <c r="H117" s="1295"/>
      <c r="I117" s="1295"/>
      <c r="J117" s="1295">
        <v>69.3</v>
      </c>
      <c r="K117" s="1295"/>
      <c r="L117" s="463">
        <f t="shared" si="17"/>
        <v>69.3</v>
      </c>
      <c r="M117" s="78">
        <v>55</v>
      </c>
      <c r="N117" s="78"/>
      <c r="O117" s="78">
        <f t="shared" si="28"/>
        <v>3811.5</v>
      </c>
      <c r="P117" s="1070">
        <f t="shared" si="18"/>
        <v>0</v>
      </c>
      <c r="Q117" s="1070">
        <f t="shared" si="19"/>
        <v>0</v>
      </c>
      <c r="R117" s="1070">
        <f t="shared" si="20"/>
        <v>0</v>
      </c>
      <c r="S117" s="1070">
        <f t="shared" si="21"/>
        <v>0</v>
      </c>
      <c r="T117" s="1070">
        <f t="shared" si="22"/>
        <v>0</v>
      </c>
      <c r="U117" s="1070">
        <f t="shared" si="23"/>
        <v>0</v>
      </c>
      <c r="V117" s="1070">
        <f t="shared" si="24"/>
        <v>49.5</v>
      </c>
      <c r="W117" s="1070">
        <f t="shared" si="25"/>
        <v>0</v>
      </c>
      <c r="X117" s="463">
        <f t="shared" si="26"/>
        <v>49.5</v>
      </c>
      <c r="Y117" s="78">
        <f t="shared" si="27"/>
        <v>77</v>
      </c>
      <c r="Z117" s="78"/>
      <c r="AA117" s="78">
        <f t="shared" si="29"/>
        <v>3811.5</v>
      </c>
    </row>
    <row r="118" spans="2:27">
      <c r="B118">
        <v>110</v>
      </c>
      <c r="C118" s="1459">
        <v>44926</v>
      </c>
      <c r="D118" s="1070"/>
      <c r="E118" s="1070"/>
      <c r="F118" s="1295"/>
      <c r="G118" s="1295"/>
      <c r="H118" s="1295"/>
      <c r="I118" s="1295"/>
      <c r="J118" s="1295">
        <v>69.72</v>
      </c>
      <c r="K118" s="1295"/>
      <c r="L118" s="463">
        <f t="shared" si="17"/>
        <v>69.72</v>
      </c>
      <c r="M118" s="78">
        <v>55</v>
      </c>
      <c r="N118" s="78"/>
      <c r="O118" s="78">
        <f t="shared" si="28"/>
        <v>3834.6</v>
      </c>
      <c r="P118" s="1070">
        <f t="shared" si="18"/>
        <v>0</v>
      </c>
      <c r="Q118" s="1070">
        <f t="shared" si="19"/>
        <v>0</v>
      </c>
      <c r="R118" s="1070">
        <f t="shared" si="20"/>
        <v>0</v>
      </c>
      <c r="S118" s="1070">
        <f t="shared" si="21"/>
        <v>0</v>
      </c>
      <c r="T118" s="1070">
        <f t="shared" si="22"/>
        <v>0</v>
      </c>
      <c r="U118" s="1070">
        <f t="shared" si="23"/>
        <v>0</v>
      </c>
      <c r="V118" s="1070">
        <f t="shared" si="24"/>
        <v>49.800000000000004</v>
      </c>
      <c r="W118" s="1070">
        <f t="shared" si="25"/>
        <v>0</v>
      </c>
      <c r="X118" s="463">
        <f t="shared" si="26"/>
        <v>49.800000000000004</v>
      </c>
      <c r="Y118" s="78">
        <f t="shared" si="27"/>
        <v>77</v>
      </c>
      <c r="Z118" s="78"/>
      <c r="AA118" s="78">
        <f t="shared" si="29"/>
        <v>3834.6000000000004</v>
      </c>
    </row>
    <row r="119" spans="2:27">
      <c r="B119">
        <v>111</v>
      </c>
      <c r="C119" s="1459">
        <v>44926</v>
      </c>
      <c r="D119" s="1070"/>
      <c r="E119" s="1070"/>
      <c r="F119" s="1295"/>
      <c r="G119" s="1295"/>
      <c r="H119" s="1295"/>
      <c r="I119" s="1295"/>
      <c r="J119" s="1295">
        <v>74.14</v>
      </c>
      <c r="K119" s="1295"/>
      <c r="L119" s="463">
        <f t="shared" si="17"/>
        <v>74.14</v>
      </c>
      <c r="M119" s="78">
        <v>55</v>
      </c>
      <c r="N119" s="78"/>
      <c r="O119" s="78">
        <f t="shared" si="28"/>
        <v>4077.7</v>
      </c>
      <c r="P119" s="1070">
        <f t="shared" si="18"/>
        <v>0</v>
      </c>
      <c r="Q119" s="1070">
        <f t="shared" si="19"/>
        <v>0</v>
      </c>
      <c r="R119" s="1070">
        <f t="shared" si="20"/>
        <v>0</v>
      </c>
      <c r="S119" s="1070">
        <f t="shared" si="21"/>
        <v>0</v>
      </c>
      <c r="T119" s="1070">
        <f t="shared" si="22"/>
        <v>0</v>
      </c>
      <c r="U119" s="1070">
        <f t="shared" si="23"/>
        <v>0</v>
      </c>
      <c r="V119" s="1070">
        <f t="shared" si="24"/>
        <v>52.957142857142863</v>
      </c>
      <c r="W119" s="1070">
        <f t="shared" si="25"/>
        <v>0</v>
      </c>
      <c r="X119" s="463">
        <f t="shared" si="26"/>
        <v>52.957142857142863</v>
      </c>
      <c r="Y119" s="78">
        <f t="shared" si="27"/>
        <v>77</v>
      </c>
      <c r="Z119" s="78"/>
      <c r="AA119" s="78">
        <f t="shared" si="29"/>
        <v>4077.7000000000003</v>
      </c>
    </row>
    <row r="120" spans="2:27">
      <c r="B120">
        <v>112</v>
      </c>
      <c r="C120" s="1459">
        <v>44926</v>
      </c>
      <c r="D120" s="1070"/>
      <c r="E120" s="1070"/>
      <c r="F120" s="1295"/>
      <c r="G120" s="1295"/>
      <c r="H120" s="1295"/>
      <c r="I120" s="1295"/>
      <c r="J120" s="1295">
        <v>72.86</v>
      </c>
      <c r="K120" s="1295"/>
      <c r="L120" s="463">
        <f t="shared" si="17"/>
        <v>72.86</v>
      </c>
      <c r="M120" s="78">
        <v>55</v>
      </c>
      <c r="N120" s="78"/>
      <c r="O120" s="78">
        <f t="shared" si="28"/>
        <v>4007.3</v>
      </c>
      <c r="P120" s="1070">
        <f t="shared" si="18"/>
        <v>0</v>
      </c>
      <c r="Q120" s="1070">
        <f t="shared" si="19"/>
        <v>0</v>
      </c>
      <c r="R120" s="1070">
        <f t="shared" si="20"/>
        <v>0</v>
      </c>
      <c r="S120" s="1070">
        <f t="shared" si="21"/>
        <v>0</v>
      </c>
      <c r="T120" s="1070">
        <f t="shared" si="22"/>
        <v>0</v>
      </c>
      <c r="U120" s="1070">
        <f t="shared" si="23"/>
        <v>0</v>
      </c>
      <c r="V120" s="1070">
        <f t="shared" si="24"/>
        <v>52.042857142857144</v>
      </c>
      <c r="W120" s="1070">
        <f t="shared" si="25"/>
        <v>0</v>
      </c>
      <c r="X120" s="463">
        <f t="shared" si="26"/>
        <v>52.042857142857144</v>
      </c>
      <c r="Y120" s="78">
        <f t="shared" si="27"/>
        <v>77</v>
      </c>
      <c r="Z120" s="78"/>
      <c r="AA120" s="78">
        <f t="shared" si="29"/>
        <v>4007.3</v>
      </c>
    </row>
    <row r="121" spans="2:27">
      <c r="B121">
        <v>113</v>
      </c>
      <c r="C121" s="1459">
        <v>44926</v>
      </c>
      <c r="D121" s="1070"/>
      <c r="E121" s="1070"/>
      <c r="F121" s="1295"/>
      <c r="G121" s="1295"/>
      <c r="H121" s="1295"/>
      <c r="I121" s="1295"/>
      <c r="J121" s="1295">
        <v>72.459999999999994</v>
      </c>
      <c r="K121" s="1295"/>
      <c r="L121" s="463">
        <f t="shared" si="17"/>
        <v>72.459999999999994</v>
      </c>
      <c r="M121" s="78">
        <v>55</v>
      </c>
      <c r="N121" s="78"/>
      <c r="O121" s="78">
        <f t="shared" si="28"/>
        <v>3985.2999999999997</v>
      </c>
      <c r="P121" s="1070">
        <f t="shared" si="18"/>
        <v>0</v>
      </c>
      <c r="Q121" s="1070">
        <f t="shared" si="19"/>
        <v>0</v>
      </c>
      <c r="R121" s="1070">
        <f t="shared" si="20"/>
        <v>0</v>
      </c>
      <c r="S121" s="1070">
        <f t="shared" si="21"/>
        <v>0</v>
      </c>
      <c r="T121" s="1070">
        <f t="shared" si="22"/>
        <v>0</v>
      </c>
      <c r="U121" s="1070">
        <f t="shared" si="23"/>
        <v>0</v>
      </c>
      <c r="V121" s="1070">
        <f t="shared" si="24"/>
        <v>51.757142857142853</v>
      </c>
      <c r="W121" s="1070">
        <f t="shared" si="25"/>
        <v>0</v>
      </c>
      <c r="X121" s="463">
        <f t="shared" si="26"/>
        <v>51.757142857142853</v>
      </c>
      <c r="Y121" s="78">
        <f t="shared" si="27"/>
        <v>77</v>
      </c>
      <c r="Z121" s="78"/>
      <c r="AA121" s="78">
        <f t="shared" si="29"/>
        <v>3985.2999999999997</v>
      </c>
    </row>
    <row r="122" spans="2:27">
      <c r="B122">
        <v>114</v>
      </c>
      <c r="C122" s="1459">
        <v>44926</v>
      </c>
      <c r="D122" s="1070"/>
      <c r="E122" s="1070"/>
      <c r="F122" s="1295"/>
      <c r="G122" s="1295"/>
      <c r="H122" s="1295"/>
      <c r="I122" s="1295"/>
      <c r="J122" s="1295">
        <v>73.06</v>
      </c>
      <c r="K122" s="1295"/>
      <c r="L122" s="463">
        <f t="shared" si="17"/>
        <v>73.06</v>
      </c>
      <c r="M122" s="78">
        <v>55</v>
      </c>
      <c r="N122" s="78"/>
      <c r="O122" s="78">
        <f t="shared" si="28"/>
        <v>4018.3</v>
      </c>
      <c r="P122" s="1070">
        <f t="shared" si="18"/>
        <v>0</v>
      </c>
      <c r="Q122" s="1070">
        <f t="shared" si="19"/>
        <v>0</v>
      </c>
      <c r="R122" s="1070">
        <f t="shared" si="20"/>
        <v>0</v>
      </c>
      <c r="S122" s="1070">
        <f t="shared" si="21"/>
        <v>0</v>
      </c>
      <c r="T122" s="1070">
        <f t="shared" si="22"/>
        <v>0</v>
      </c>
      <c r="U122" s="1070">
        <f t="shared" si="23"/>
        <v>0</v>
      </c>
      <c r="V122" s="1070">
        <f t="shared" si="24"/>
        <v>52.18571428571429</v>
      </c>
      <c r="W122" s="1070">
        <f t="shared" si="25"/>
        <v>0</v>
      </c>
      <c r="X122" s="463">
        <f t="shared" si="26"/>
        <v>52.18571428571429</v>
      </c>
      <c r="Y122" s="78">
        <f t="shared" si="27"/>
        <v>77</v>
      </c>
      <c r="Z122" s="78"/>
      <c r="AA122" s="78">
        <f t="shared" si="29"/>
        <v>4018.3</v>
      </c>
    </row>
    <row r="123" spans="2:27">
      <c r="B123">
        <v>115</v>
      </c>
      <c r="C123" s="1459">
        <v>44926</v>
      </c>
      <c r="D123" s="1070"/>
      <c r="E123" s="1070"/>
      <c r="F123" s="1295"/>
      <c r="G123" s="1295"/>
      <c r="H123" s="1295"/>
      <c r="I123" s="1295"/>
      <c r="J123" s="1295">
        <v>74.239999999999995</v>
      </c>
      <c r="K123" s="1295"/>
      <c r="L123" s="463">
        <f t="shared" si="17"/>
        <v>74.239999999999995</v>
      </c>
      <c r="M123" s="78">
        <v>55</v>
      </c>
      <c r="N123" s="78"/>
      <c r="O123" s="78">
        <f t="shared" si="28"/>
        <v>4083.2</v>
      </c>
      <c r="P123" s="1070">
        <f t="shared" si="18"/>
        <v>0</v>
      </c>
      <c r="Q123" s="1070">
        <f t="shared" si="19"/>
        <v>0</v>
      </c>
      <c r="R123" s="1070">
        <f t="shared" si="20"/>
        <v>0</v>
      </c>
      <c r="S123" s="1070">
        <f t="shared" si="21"/>
        <v>0</v>
      </c>
      <c r="T123" s="1070">
        <f t="shared" si="22"/>
        <v>0</v>
      </c>
      <c r="U123" s="1070">
        <f t="shared" si="23"/>
        <v>0</v>
      </c>
      <c r="V123" s="1070">
        <f t="shared" si="24"/>
        <v>53.028571428571425</v>
      </c>
      <c r="W123" s="1070">
        <f t="shared" si="25"/>
        <v>0</v>
      </c>
      <c r="X123" s="463">
        <f t="shared" si="26"/>
        <v>53.028571428571425</v>
      </c>
      <c r="Y123" s="78">
        <f t="shared" si="27"/>
        <v>77</v>
      </c>
      <c r="Z123" s="78"/>
      <c r="AA123" s="78">
        <f t="shared" si="29"/>
        <v>4083.2</v>
      </c>
    </row>
    <row r="124" spans="2:27">
      <c r="B124">
        <v>116</v>
      </c>
      <c r="C124" s="1459">
        <v>44926</v>
      </c>
      <c r="D124" s="1070"/>
      <c r="E124" s="1070"/>
      <c r="F124" s="1295"/>
      <c r="G124" s="1295"/>
      <c r="H124" s="1295"/>
      <c r="I124" s="1295"/>
      <c r="J124" s="1295">
        <v>69.680000000000007</v>
      </c>
      <c r="K124" s="1295"/>
      <c r="L124" s="463">
        <f t="shared" si="17"/>
        <v>69.680000000000007</v>
      </c>
      <c r="M124" s="78">
        <v>55</v>
      </c>
      <c r="N124" s="78"/>
      <c r="O124" s="78">
        <f t="shared" si="28"/>
        <v>3832.4000000000005</v>
      </c>
      <c r="P124" s="1070">
        <f t="shared" si="18"/>
        <v>0</v>
      </c>
      <c r="Q124" s="1070">
        <f t="shared" si="19"/>
        <v>0</v>
      </c>
      <c r="R124" s="1070">
        <f t="shared" si="20"/>
        <v>0</v>
      </c>
      <c r="S124" s="1070">
        <f t="shared" si="21"/>
        <v>0</v>
      </c>
      <c r="T124" s="1070">
        <f t="shared" si="22"/>
        <v>0</v>
      </c>
      <c r="U124" s="1070">
        <f t="shared" si="23"/>
        <v>0</v>
      </c>
      <c r="V124" s="1070">
        <f t="shared" si="24"/>
        <v>49.771428571428579</v>
      </c>
      <c r="W124" s="1070">
        <f t="shared" si="25"/>
        <v>0</v>
      </c>
      <c r="X124" s="463">
        <f t="shared" si="26"/>
        <v>49.771428571428579</v>
      </c>
      <c r="Y124" s="78">
        <f t="shared" si="27"/>
        <v>77</v>
      </c>
      <c r="Z124" s="78"/>
      <c r="AA124" s="78">
        <f t="shared" si="29"/>
        <v>3832.4000000000005</v>
      </c>
    </row>
    <row r="125" spans="2:27">
      <c r="B125">
        <v>117</v>
      </c>
      <c r="C125" s="1459">
        <v>44926</v>
      </c>
      <c r="D125" s="1070"/>
      <c r="E125" s="1070"/>
      <c r="F125" s="1295"/>
      <c r="G125" s="1295"/>
      <c r="H125" s="1295"/>
      <c r="I125" s="1295"/>
      <c r="J125" s="1295">
        <v>74.540000000000006</v>
      </c>
      <c r="K125" s="1295"/>
      <c r="L125" s="463">
        <f t="shared" si="17"/>
        <v>74.540000000000006</v>
      </c>
      <c r="M125" s="78">
        <v>55</v>
      </c>
      <c r="N125" s="78"/>
      <c r="O125" s="78">
        <f t="shared" si="28"/>
        <v>4099.7000000000007</v>
      </c>
      <c r="P125" s="1070">
        <f t="shared" si="18"/>
        <v>0</v>
      </c>
      <c r="Q125" s="1070">
        <f t="shared" si="19"/>
        <v>0</v>
      </c>
      <c r="R125" s="1070">
        <f t="shared" si="20"/>
        <v>0</v>
      </c>
      <c r="S125" s="1070">
        <f t="shared" si="21"/>
        <v>0</v>
      </c>
      <c r="T125" s="1070">
        <f t="shared" si="22"/>
        <v>0</v>
      </c>
      <c r="U125" s="1070">
        <f t="shared" si="23"/>
        <v>0</v>
      </c>
      <c r="V125" s="1070">
        <f t="shared" si="24"/>
        <v>53.242857142857147</v>
      </c>
      <c r="W125" s="1070">
        <f t="shared" si="25"/>
        <v>0</v>
      </c>
      <c r="X125" s="463">
        <f t="shared" si="26"/>
        <v>53.242857142857147</v>
      </c>
      <c r="Y125" s="78">
        <f t="shared" si="27"/>
        <v>77</v>
      </c>
      <c r="Z125" s="78"/>
      <c r="AA125" s="78">
        <f t="shared" si="29"/>
        <v>4099.7000000000007</v>
      </c>
    </row>
    <row r="126" spans="2:27">
      <c r="B126">
        <v>118</v>
      </c>
      <c r="C126" s="1459">
        <v>44926</v>
      </c>
      <c r="D126" s="1070"/>
      <c r="E126" s="1070"/>
      <c r="F126" s="1295"/>
      <c r="G126" s="1295"/>
      <c r="H126" s="1295"/>
      <c r="I126" s="1295"/>
      <c r="J126" s="1295">
        <v>70.900000000000006</v>
      </c>
      <c r="K126" s="1295"/>
      <c r="L126" s="463">
        <f t="shared" si="17"/>
        <v>70.900000000000006</v>
      </c>
      <c r="M126" s="78">
        <v>55</v>
      </c>
      <c r="N126" s="78"/>
      <c r="O126" s="78">
        <f t="shared" si="28"/>
        <v>3899.5000000000005</v>
      </c>
      <c r="P126" s="1070">
        <f t="shared" si="18"/>
        <v>0</v>
      </c>
      <c r="Q126" s="1070">
        <f t="shared" si="19"/>
        <v>0</v>
      </c>
      <c r="R126" s="1070">
        <f t="shared" si="20"/>
        <v>0</v>
      </c>
      <c r="S126" s="1070">
        <f t="shared" si="21"/>
        <v>0</v>
      </c>
      <c r="T126" s="1070">
        <f t="shared" si="22"/>
        <v>0</v>
      </c>
      <c r="U126" s="1070">
        <f t="shared" si="23"/>
        <v>0</v>
      </c>
      <c r="V126" s="1070">
        <f t="shared" si="24"/>
        <v>50.642857142857153</v>
      </c>
      <c r="W126" s="1070">
        <f t="shared" si="25"/>
        <v>0</v>
      </c>
      <c r="X126" s="463">
        <f t="shared" si="26"/>
        <v>50.642857142857153</v>
      </c>
      <c r="Y126" s="78">
        <f t="shared" si="27"/>
        <v>77</v>
      </c>
      <c r="Z126" s="78"/>
      <c r="AA126" s="78">
        <f t="shared" si="29"/>
        <v>3899.5000000000009</v>
      </c>
    </row>
    <row r="127" spans="2:27">
      <c r="B127">
        <v>119</v>
      </c>
      <c r="C127" s="1459">
        <v>44926</v>
      </c>
      <c r="D127" s="1070"/>
      <c r="E127" s="1070"/>
      <c r="F127" s="1295"/>
      <c r="G127" s="1295"/>
      <c r="H127" s="1295"/>
      <c r="I127" s="1295"/>
      <c r="J127" s="1295">
        <v>71.62</v>
      </c>
      <c r="K127" s="1295"/>
      <c r="L127" s="463">
        <f t="shared" si="17"/>
        <v>71.62</v>
      </c>
      <c r="M127" s="78">
        <v>55</v>
      </c>
      <c r="N127" s="78"/>
      <c r="O127" s="78">
        <f t="shared" si="28"/>
        <v>3939.1000000000004</v>
      </c>
      <c r="P127" s="1070">
        <f t="shared" si="18"/>
        <v>0</v>
      </c>
      <c r="Q127" s="1070">
        <f t="shared" si="19"/>
        <v>0</v>
      </c>
      <c r="R127" s="1070">
        <f t="shared" si="20"/>
        <v>0</v>
      </c>
      <c r="S127" s="1070">
        <f t="shared" si="21"/>
        <v>0</v>
      </c>
      <c r="T127" s="1070">
        <f t="shared" si="22"/>
        <v>0</v>
      </c>
      <c r="U127" s="1070">
        <f t="shared" si="23"/>
        <v>0</v>
      </c>
      <c r="V127" s="1070">
        <f t="shared" si="24"/>
        <v>51.157142857142865</v>
      </c>
      <c r="W127" s="1070">
        <f t="shared" si="25"/>
        <v>0</v>
      </c>
      <c r="X127" s="463">
        <f t="shared" si="26"/>
        <v>51.157142857142865</v>
      </c>
      <c r="Y127" s="78">
        <f t="shared" si="27"/>
        <v>77</v>
      </c>
      <c r="Z127" s="78"/>
      <c r="AA127" s="78">
        <f t="shared" si="29"/>
        <v>3939.1000000000008</v>
      </c>
    </row>
    <row r="128" spans="2:27">
      <c r="B128">
        <v>120</v>
      </c>
      <c r="C128" s="1459">
        <v>44926</v>
      </c>
      <c r="D128" s="1070"/>
      <c r="E128" s="1070"/>
      <c r="F128" s="1295"/>
      <c r="G128" s="1295"/>
      <c r="H128" s="1295"/>
      <c r="I128" s="1295"/>
      <c r="J128" s="1295"/>
      <c r="K128" s="1295">
        <v>70.84</v>
      </c>
      <c r="L128" s="463">
        <f t="shared" si="17"/>
        <v>70.84</v>
      </c>
      <c r="M128" s="78">
        <v>55</v>
      </c>
      <c r="N128" s="78"/>
      <c r="O128" s="78">
        <f t="shared" si="28"/>
        <v>3896.2000000000003</v>
      </c>
      <c r="P128" s="1070">
        <f t="shared" si="18"/>
        <v>0</v>
      </c>
      <c r="Q128" s="1070">
        <f t="shared" si="19"/>
        <v>0</v>
      </c>
      <c r="R128" s="1070">
        <f t="shared" si="20"/>
        <v>0</v>
      </c>
      <c r="S128" s="1070">
        <f t="shared" si="21"/>
        <v>0</v>
      </c>
      <c r="T128" s="1070">
        <f t="shared" si="22"/>
        <v>0</v>
      </c>
      <c r="U128" s="1070">
        <f t="shared" si="23"/>
        <v>0</v>
      </c>
      <c r="V128" s="1070">
        <f t="shared" si="24"/>
        <v>0</v>
      </c>
      <c r="W128" s="1070">
        <f t="shared" si="25"/>
        <v>50.600000000000009</v>
      </c>
      <c r="X128" s="463">
        <f t="shared" si="26"/>
        <v>50.600000000000009</v>
      </c>
      <c r="Y128" s="78">
        <f t="shared" si="27"/>
        <v>77</v>
      </c>
      <c r="Z128" s="78"/>
      <c r="AA128" s="78">
        <f t="shared" si="29"/>
        <v>3896.2000000000007</v>
      </c>
    </row>
    <row r="129" spans="2:27">
      <c r="B129">
        <v>121</v>
      </c>
      <c r="C129" s="1459">
        <v>44926</v>
      </c>
      <c r="D129" s="1070"/>
      <c r="E129" s="1070"/>
      <c r="F129" s="1295"/>
      <c r="G129" s="1295"/>
      <c r="H129" s="1295"/>
      <c r="I129" s="1295"/>
      <c r="J129" s="1295"/>
      <c r="K129" s="1295">
        <v>72.599999999999994</v>
      </c>
      <c r="L129" s="463">
        <f t="shared" si="17"/>
        <v>72.599999999999994</v>
      </c>
      <c r="M129" s="78">
        <v>55</v>
      </c>
      <c r="N129" s="78"/>
      <c r="O129" s="78">
        <f t="shared" si="28"/>
        <v>3992.9999999999995</v>
      </c>
      <c r="P129" s="1070">
        <f t="shared" si="18"/>
        <v>0</v>
      </c>
      <c r="Q129" s="1070">
        <f t="shared" si="19"/>
        <v>0</v>
      </c>
      <c r="R129" s="1070">
        <f t="shared" si="20"/>
        <v>0</v>
      </c>
      <c r="S129" s="1070">
        <f t="shared" si="21"/>
        <v>0</v>
      </c>
      <c r="T129" s="1070">
        <f t="shared" si="22"/>
        <v>0</v>
      </c>
      <c r="U129" s="1070">
        <f t="shared" si="23"/>
        <v>0</v>
      </c>
      <c r="V129" s="1070">
        <f t="shared" si="24"/>
        <v>0</v>
      </c>
      <c r="W129" s="1070">
        <f t="shared" si="25"/>
        <v>51.857142857142854</v>
      </c>
      <c r="X129" s="463">
        <f t="shared" si="26"/>
        <v>51.857142857142854</v>
      </c>
      <c r="Y129" s="78">
        <f t="shared" si="27"/>
        <v>77</v>
      </c>
      <c r="Z129" s="78"/>
      <c r="AA129" s="78">
        <f t="shared" si="29"/>
        <v>3992.9999999999995</v>
      </c>
    </row>
    <row r="130" spans="2:27">
      <c r="B130">
        <v>122</v>
      </c>
      <c r="C130" s="1459">
        <v>44926</v>
      </c>
      <c r="D130" s="1070"/>
      <c r="E130" s="1070"/>
      <c r="F130" s="1295"/>
      <c r="G130" s="1295"/>
      <c r="H130" s="1295"/>
      <c r="I130" s="1295"/>
      <c r="J130" s="1295"/>
      <c r="K130" s="1295">
        <v>70.72</v>
      </c>
      <c r="L130" s="463">
        <f t="shared" si="17"/>
        <v>70.72</v>
      </c>
      <c r="M130" s="78">
        <v>55</v>
      </c>
      <c r="N130" s="78"/>
      <c r="O130" s="78">
        <f t="shared" si="28"/>
        <v>3889.6</v>
      </c>
      <c r="P130" s="1070">
        <f t="shared" si="18"/>
        <v>0</v>
      </c>
      <c r="Q130" s="1070">
        <f t="shared" si="19"/>
        <v>0</v>
      </c>
      <c r="R130" s="1070">
        <f t="shared" si="20"/>
        <v>0</v>
      </c>
      <c r="S130" s="1070">
        <f t="shared" si="21"/>
        <v>0</v>
      </c>
      <c r="T130" s="1070">
        <f t="shared" si="22"/>
        <v>0</v>
      </c>
      <c r="U130" s="1070">
        <f t="shared" si="23"/>
        <v>0</v>
      </c>
      <c r="V130" s="1070">
        <f t="shared" si="24"/>
        <v>0</v>
      </c>
      <c r="W130" s="1070">
        <f t="shared" si="25"/>
        <v>50.51428571428572</v>
      </c>
      <c r="X130" s="463">
        <f t="shared" si="26"/>
        <v>50.51428571428572</v>
      </c>
      <c r="Y130" s="78">
        <f t="shared" si="27"/>
        <v>77</v>
      </c>
      <c r="Z130" s="78"/>
      <c r="AA130" s="78">
        <f t="shared" si="29"/>
        <v>3889.6000000000004</v>
      </c>
    </row>
    <row r="131" spans="2:27">
      <c r="B131">
        <v>123</v>
      </c>
      <c r="C131" s="1459">
        <v>44926</v>
      </c>
      <c r="D131" s="1070"/>
      <c r="E131" s="1070"/>
      <c r="F131" s="1295"/>
      <c r="G131" s="1295"/>
      <c r="H131" s="1295"/>
      <c r="I131" s="1295"/>
      <c r="J131" s="1295"/>
      <c r="K131" s="1295">
        <v>70.92</v>
      </c>
      <c r="L131" s="463">
        <f t="shared" si="17"/>
        <v>70.92</v>
      </c>
      <c r="M131" s="78">
        <v>55</v>
      </c>
      <c r="N131" s="78"/>
      <c r="O131" s="78">
        <f t="shared" si="28"/>
        <v>3900.6</v>
      </c>
      <c r="P131" s="1070">
        <f t="shared" si="18"/>
        <v>0</v>
      </c>
      <c r="Q131" s="1070">
        <f t="shared" si="19"/>
        <v>0</v>
      </c>
      <c r="R131" s="1070">
        <f t="shared" si="20"/>
        <v>0</v>
      </c>
      <c r="S131" s="1070">
        <f t="shared" si="21"/>
        <v>0</v>
      </c>
      <c r="T131" s="1070">
        <f t="shared" si="22"/>
        <v>0</v>
      </c>
      <c r="U131" s="1070">
        <f t="shared" si="23"/>
        <v>0</v>
      </c>
      <c r="V131" s="1070">
        <f t="shared" si="24"/>
        <v>0</v>
      </c>
      <c r="W131" s="1070">
        <f t="shared" si="25"/>
        <v>50.657142857142858</v>
      </c>
      <c r="X131" s="463">
        <f t="shared" si="26"/>
        <v>50.657142857142858</v>
      </c>
      <c r="Y131" s="78">
        <f t="shared" si="27"/>
        <v>77</v>
      </c>
      <c r="Z131" s="78"/>
      <c r="AA131" s="78">
        <f t="shared" si="29"/>
        <v>3900.6</v>
      </c>
    </row>
    <row r="132" spans="2:27">
      <c r="B132">
        <v>124</v>
      </c>
      <c r="C132" s="1459">
        <v>44926</v>
      </c>
      <c r="D132" s="1070"/>
      <c r="E132" s="1070"/>
      <c r="F132" s="1295"/>
      <c r="G132" s="1295"/>
      <c r="H132" s="1295"/>
      <c r="I132" s="1295"/>
      <c r="J132" s="1295"/>
      <c r="K132" s="1295">
        <v>71.12</v>
      </c>
      <c r="L132" s="463">
        <f t="shared" si="17"/>
        <v>71.12</v>
      </c>
      <c r="M132" s="78">
        <v>55</v>
      </c>
      <c r="N132" s="78"/>
      <c r="O132" s="78">
        <f t="shared" si="28"/>
        <v>3911.6000000000004</v>
      </c>
      <c r="P132" s="1070">
        <f t="shared" si="18"/>
        <v>0</v>
      </c>
      <c r="Q132" s="1070">
        <f t="shared" si="19"/>
        <v>0</v>
      </c>
      <c r="R132" s="1070">
        <f t="shared" si="20"/>
        <v>0</v>
      </c>
      <c r="S132" s="1070">
        <f t="shared" si="21"/>
        <v>0</v>
      </c>
      <c r="T132" s="1070">
        <f t="shared" si="22"/>
        <v>0</v>
      </c>
      <c r="U132" s="1070">
        <f t="shared" si="23"/>
        <v>0</v>
      </c>
      <c r="V132" s="1070">
        <f t="shared" si="24"/>
        <v>0</v>
      </c>
      <c r="W132" s="1070">
        <f t="shared" si="25"/>
        <v>50.800000000000004</v>
      </c>
      <c r="X132" s="463">
        <f t="shared" si="26"/>
        <v>50.800000000000004</v>
      </c>
      <c r="Y132" s="78">
        <f t="shared" si="27"/>
        <v>77</v>
      </c>
      <c r="Z132" s="78"/>
      <c r="AA132" s="78">
        <f t="shared" si="29"/>
        <v>3911.6000000000004</v>
      </c>
    </row>
    <row r="133" spans="2:27">
      <c r="B133">
        <v>125</v>
      </c>
      <c r="C133" s="1459">
        <v>44926</v>
      </c>
      <c r="D133" s="1070"/>
      <c r="E133" s="1070"/>
      <c r="F133" s="1295"/>
      <c r="G133" s="1295"/>
      <c r="H133" s="1295"/>
      <c r="I133" s="1295"/>
      <c r="J133" s="1295"/>
      <c r="K133" s="1295">
        <v>61.4</v>
      </c>
      <c r="L133" s="463">
        <f t="shared" si="17"/>
        <v>61.4</v>
      </c>
      <c r="M133" s="78">
        <v>55</v>
      </c>
      <c r="N133" s="78"/>
      <c r="O133" s="78">
        <f t="shared" si="28"/>
        <v>3377</v>
      </c>
      <c r="P133" s="1070">
        <f t="shared" si="18"/>
        <v>0</v>
      </c>
      <c r="Q133" s="1070">
        <f t="shared" si="19"/>
        <v>0</v>
      </c>
      <c r="R133" s="1070">
        <f t="shared" si="20"/>
        <v>0</v>
      </c>
      <c r="S133" s="1070">
        <f t="shared" si="21"/>
        <v>0</v>
      </c>
      <c r="T133" s="1070">
        <f t="shared" si="22"/>
        <v>0</v>
      </c>
      <c r="U133" s="1070">
        <f t="shared" si="23"/>
        <v>0</v>
      </c>
      <c r="V133" s="1070">
        <f t="shared" si="24"/>
        <v>0</v>
      </c>
      <c r="W133" s="1070">
        <f t="shared" si="25"/>
        <v>43.857142857142861</v>
      </c>
      <c r="X133" s="463">
        <f t="shared" si="26"/>
        <v>43.857142857142861</v>
      </c>
      <c r="Y133" s="78">
        <f t="shared" si="27"/>
        <v>77</v>
      </c>
      <c r="Z133" s="78"/>
      <c r="AA133" s="78">
        <f t="shared" si="29"/>
        <v>3377.0000000000005</v>
      </c>
    </row>
    <row r="134" spans="2:27">
      <c r="B134">
        <v>126</v>
      </c>
      <c r="C134" s="1459">
        <v>44926</v>
      </c>
      <c r="D134" s="1070"/>
      <c r="E134" s="1070"/>
      <c r="F134" s="1295"/>
      <c r="G134" s="1295"/>
      <c r="H134" s="1295"/>
      <c r="I134" s="1295"/>
      <c r="J134" s="1295"/>
      <c r="K134" s="1295">
        <v>71.28</v>
      </c>
      <c r="L134" s="463">
        <f t="shared" si="17"/>
        <v>71.28</v>
      </c>
      <c r="M134" s="78">
        <v>55</v>
      </c>
      <c r="N134" s="78"/>
      <c r="O134" s="78">
        <f t="shared" si="28"/>
        <v>3920.4</v>
      </c>
      <c r="P134" s="1070">
        <f t="shared" si="18"/>
        <v>0</v>
      </c>
      <c r="Q134" s="1070">
        <f t="shared" si="19"/>
        <v>0</v>
      </c>
      <c r="R134" s="1070">
        <f t="shared" si="20"/>
        <v>0</v>
      </c>
      <c r="S134" s="1070">
        <f t="shared" si="21"/>
        <v>0</v>
      </c>
      <c r="T134" s="1070">
        <f t="shared" si="22"/>
        <v>0</v>
      </c>
      <c r="U134" s="1070">
        <f t="shared" si="23"/>
        <v>0</v>
      </c>
      <c r="V134" s="1070">
        <f t="shared" si="24"/>
        <v>0</v>
      </c>
      <c r="W134" s="1070">
        <f t="shared" si="25"/>
        <v>50.914285714285718</v>
      </c>
      <c r="X134" s="463">
        <f t="shared" si="26"/>
        <v>50.914285714285718</v>
      </c>
      <c r="Y134" s="78">
        <f t="shared" si="27"/>
        <v>77</v>
      </c>
      <c r="Z134" s="78"/>
      <c r="AA134" s="78">
        <f t="shared" si="29"/>
        <v>3920.4</v>
      </c>
    </row>
    <row r="135" spans="2:27">
      <c r="B135">
        <v>127</v>
      </c>
      <c r="C135" s="1459">
        <v>44926</v>
      </c>
      <c r="D135" s="1070"/>
      <c r="E135" s="1070"/>
      <c r="F135" s="1295"/>
      <c r="G135" s="1295"/>
      <c r="H135" s="1295"/>
      <c r="I135" s="1295"/>
      <c r="J135" s="1295"/>
      <c r="K135" s="1295">
        <v>71.739999999999995</v>
      </c>
      <c r="L135" s="463">
        <f t="shared" si="17"/>
        <v>71.739999999999995</v>
      </c>
      <c r="M135" s="78">
        <v>55</v>
      </c>
      <c r="N135" s="78"/>
      <c r="O135" s="78">
        <f t="shared" si="28"/>
        <v>3945.7</v>
      </c>
      <c r="P135" s="1070">
        <f t="shared" si="18"/>
        <v>0</v>
      </c>
      <c r="Q135" s="1070">
        <f t="shared" si="19"/>
        <v>0</v>
      </c>
      <c r="R135" s="1070">
        <f t="shared" si="20"/>
        <v>0</v>
      </c>
      <c r="S135" s="1070">
        <f t="shared" si="21"/>
        <v>0</v>
      </c>
      <c r="T135" s="1070">
        <f t="shared" si="22"/>
        <v>0</v>
      </c>
      <c r="U135" s="1070">
        <f t="shared" si="23"/>
        <v>0</v>
      </c>
      <c r="V135" s="1070">
        <f t="shared" si="24"/>
        <v>0</v>
      </c>
      <c r="W135" s="1070">
        <f t="shared" si="25"/>
        <v>51.24285714285714</v>
      </c>
      <c r="X135" s="463">
        <f t="shared" si="26"/>
        <v>51.24285714285714</v>
      </c>
      <c r="Y135" s="78">
        <f t="shared" si="27"/>
        <v>77</v>
      </c>
      <c r="Z135" s="78"/>
      <c r="AA135" s="78">
        <f t="shared" si="29"/>
        <v>3945.7</v>
      </c>
    </row>
    <row r="136" spans="2:27">
      <c r="B136">
        <v>128</v>
      </c>
      <c r="C136" s="1459">
        <v>44926</v>
      </c>
      <c r="D136" s="1070"/>
      <c r="E136" s="1070"/>
      <c r="F136" s="1295"/>
      <c r="G136" s="1295"/>
      <c r="H136" s="1295"/>
      <c r="I136" s="1295"/>
      <c r="J136" s="1295"/>
      <c r="K136" s="1295">
        <v>72.98</v>
      </c>
      <c r="L136" s="463">
        <f t="shared" si="17"/>
        <v>72.98</v>
      </c>
      <c r="M136" s="78">
        <v>55</v>
      </c>
      <c r="N136" s="78"/>
      <c r="O136" s="78">
        <f t="shared" si="28"/>
        <v>4013.9</v>
      </c>
      <c r="P136" s="1070">
        <f t="shared" si="18"/>
        <v>0</v>
      </c>
      <c r="Q136" s="1070">
        <f t="shared" si="19"/>
        <v>0</v>
      </c>
      <c r="R136" s="1070">
        <f t="shared" si="20"/>
        <v>0</v>
      </c>
      <c r="S136" s="1070">
        <f t="shared" si="21"/>
        <v>0</v>
      </c>
      <c r="T136" s="1070">
        <f t="shared" si="22"/>
        <v>0</v>
      </c>
      <c r="U136" s="1070">
        <f t="shared" si="23"/>
        <v>0</v>
      </c>
      <c r="V136" s="1070">
        <f t="shared" si="24"/>
        <v>0</v>
      </c>
      <c r="W136" s="1070">
        <f t="shared" si="25"/>
        <v>52.128571428571433</v>
      </c>
      <c r="X136" s="463">
        <f t="shared" si="26"/>
        <v>52.128571428571433</v>
      </c>
      <c r="Y136" s="78">
        <f t="shared" si="27"/>
        <v>77</v>
      </c>
      <c r="Z136" s="78"/>
      <c r="AA136" s="78">
        <f t="shared" si="29"/>
        <v>4013.9000000000005</v>
      </c>
    </row>
    <row r="137" spans="2:27">
      <c r="B137">
        <v>129</v>
      </c>
      <c r="C137" s="1459">
        <v>44926</v>
      </c>
      <c r="D137" s="1070"/>
      <c r="E137" s="1070"/>
      <c r="F137" s="1295"/>
      <c r="G137" s="1295"/>
      <c r="H137" s="1295"/>
      <c r="I137" s="1295"/>
      <c r="J137" s="1295"/>
      <c r="K137" s="1295">
        <v>70.66</v>
      </c>
      <c r="L137" s="463">
        <f t="shared" ref="L137:L200" si="30">SUM(D137:K137)</f>
        <v>70.66</v>
      </c>
      <c r="M137" s="78">
        <v>55</v>
      </c>
      <c r="N137" s="78"/>
      <c r="O137" s="78">
        <f t="shared" si="28"/>
        <v>3886.2999999999997</v>
      </c>
      <c r="P137" s="1070">
        <f t="shared" ref="P137:P200" si="31">(D137/$O$6)</f>
        <v>0</v>
      </c>
      <c r="Q137" s="1070">
        <f t="shared" ref="Q137:Q200" si="32">(E137/$O$6)</f>
        <v>0</v>
      </c>
      <c r="R137" s="1070">
        <f t="shared" ref="R137:R200" si="33">(F137/$O$6)</f>
        <v>0</v>
      </c>
      <c r="S137" s="1070">
        <f t="shared" ref="S137:S200" si="34">(G137/$O$6)</f>
        <v>0</v>
      </c>
      <c r="T137" s="1070">
        <f t="shared" ref="T137:T200" si="35">(H137/$O$6)</f>
        <v>0</v>
      </c>
      <c r="U137" s="1070">
        <f t="shared" ref="U137:U200" si="36">(I137/$O$6)</f>
        <v>0</v>
      </c>
      <c r="V137" s="1070">
        <f t="shared" ref="V137:V200" si="37">(J137/$O$6)</f>
        <v>0</v>
      </c>
      <c r="W137" s="1070">
        <f t="shared" ref="W137:W200" si="38">(K137/$O$6)</f>
        <v>50.471428571428575</v>
      </c>
      <c r="X137" s="463">
        <f t="shared" ref="X137:X200" si="39">SUM(P137:W137)</f>
        <v>50.471428571428575</v>
      </c>
      <c r="Y137" s="78">
        <f t="shared" ref="Y137:Y200" si="40">(M137*$O$6)</f>
        <v>77</v>
      </c>
      <c r="Z137" s="78"/>
      <c r="AA137" s="78">
        <f t="shared" si="29"/>
        <v>3886.3</v>
      </c>
    </row>
    <row r="138" spans="2:27">
      <c r="B138">
        <v>130</v>
      </c>
      <c r="C138" s="1459">
        <v>44926</v>
      </c>
      <c r="D138" s="1070"/>
      <c r="E138" s="1070"/>
      <c r="F138" s="1295"/>
      <c r="G138" s="1295"/>
      <c r="H138" s="1295"/>
      <c r="I138" s="1295"/>
      <c r="J138" s="1295"/>
      <c r="K138" s="1295">
        <v>72.8</v>
      </c>
      <c r="L138" s="463">
        <f t="shared" si="30"/>
        <v>72.8</v>
      </c>
      <c r="M138" s="78">
        <v>55</v>
      </c>
      <c r="N138" s="78"/>
      <c r="O138" s="78">
        <f t="shared" ref="O138:O201" si="41">(L138*M138)</f>
        <v>4004</v>
      </c>
      <c r="P138" s="1070">
        <f t="shared" si="31"/>
        <v>0</v>
      </c>
      <c r="Q138" s="1070">
        <f t="shared" si="32"/>
        <v>0</v>
      </c>
      <c r="R138" s="1070">
        <f t="shared" si="33"/>
        <v>0</v>
      </c>
      <c r="S138" s="1070">
        <f t="shared" si="34"/>
        <v>0</v>
      </c>
      <c r="T138" s="1070">
        <f t="shared" si="35"/>
        <v>0</v>
      </c>
      <c r="U138" s="1070">
        <f t="shared" si="36"/>
        <v>0</v>
      </c>
      <c r="V138" s="1070">
        <f t="shared" si="37"/>
        <v>0</v>
      </c>
      <c r="W138" s="1070">
        <f t="shared" si="38"/>
        <v>52</v>
      </c>
      <c r="X138" s="463">
        <f t="shared" si="39"/>
        <v>52</v>
      </c>
      <c r="Y138" s="78">
        <f t="shared" si="40"/>
        <v>77</v>
      </c>
      <c r="Z138" s="78"/>
      <c r="AA138" s="78">
        <f t="shared" ref="AA138:AA201" si="42">(X138*Y138)</f>
        <v>4004</v>
      </c>
    </row>
    <row r="139" spans="2:27">
      <c r="B139">
        <v>131</v>
      </c>
      <c r="C139" s="1459">
        <v>44926</v>
      </c>
      <c r="D139" s="1070"/>
      <c r="E139" s="1070"/>
      <c r="F139" s="1295"/>
      <c r="G139" s="1295"/>
      <c r="H139" s="1295"/>
      <c r="I139" s="1295"/>
      <c r="J139" s="1295"/>
      <c r="K139" s="1295">
        <v>59.38</v>
      </c>
      <c r="L139" s="463">
        <f t="shared" si="30"/>
        <v>59.38</v>
      </c>
      <c r="M139" s="78">
        <v>55</v>
      </c>
      <c r="N139" s="78"/>
      <c r="O139" s="78">
        <f t="shared" si="41"/>
        <v>3265.9</v>
      </c>
      <c r="P139" s="1070">
        <f t="shared" si="31"/>
        <v>0</v>
      </c>
      <c r="Q139" s="1070">
        <f t="shared" si="32"/>
        <v>0</v>
      </c>
      <c r="R139" s="1070">
        <f t="shared" si="33"/>
        <v>0</v>
      </c>
      <c r="S139" s="1070">
        <f t="shared" si="34"/>
        <v>0</v>
      </c>
      <c r="T139" s="1070">
        <f t="shared" si="35"/>
        <v>0</v>
      </c>
      <c r="U139" s="1070">
        <f t="shared" si="36"/>
        <v>0</v>
      </c>
      <c r="V139" s="1070">
        <f t="shared" si="37"/>
        <v>0</v>
      </c>
      <c r="W139" s="1070">
        <f t="shared" si="38"/>
        <v>42.414285714285718</v>
      </c>
      <c r="X139" s="463">
        <f t="shared" si="39"/>
        <v>42.414285714285718</v>
      </c>
      <c r="Y139" s="78">
        <f t="shared" si="40"/>
        <v>77</v>
      </c>
      <c r="Z139" s="78"/>
      <c r="AA139" s="78">
        <f t="shared" si="42"/>
        <v>3265.9</v>
      </c>
    </row>
    <row r="140" spans="2:27">
      <c r="B140">
        <v>132</v>
      </c>
      <c r="C140" s="1459">
        <v>44926</v>
      </c>
      <c r="D140" s="1070"/>
      <c r="E140" s="1070"/>
      <c r="F140" s="1295"/>
      <c r="G140" s="1295"/>
      <c r="H140" s="1295"/>
      <c r="I140" s="1295"/>
      <c r="J140" s="1295"/>
      <c r="K140" s="1295">
        <v>73.52</v>
      </c>
      <c r="L140" s="463">
        <f t="shared" si="30"/>
        <v>73.52</v>
      </c>
      <c r="M140" s="78">
        <v>55</v>
      </c>
      <c r="N140" s="78"/>
      <c r="O140" s="78">
        <f t="shared" si="41"/>
        <v>4043.6</v>
      </c>
      <c r="P140" s="1070">
        <f t="shared" si="31"/>
        <v>0</v>
      </c>
      <c r="Q140" s="1070">
        <f t="shared" si="32"/>
        <v>0</v>
      </c>
      <c r="R140" s="1070">
        <f t="shared" si="33"/>
        <v>0</v>
      </c>
      <c r="S140" s="1070">
        <f t="shared" si="34"/>
        <v>0</v>
      </c>
      <c r="T140" s="1070">
        <f t="shared" si="35"/>
        <v>0</v>
      </c>
      <c r="U140" s="1070">
        <f t="shared" si="36"/>
        <v>0</v>
      </c>
      <c r="V140" s="1070">
        <f t="shared" si="37"/>
        <v>0</v>
      </c>
      <c r="W140" s="1070">
        <f t="shared" si="38"/>
        <v>52.514285714285712</v>
      </c>
      <c r="X140" s="463">
        <f t="shared" si="39"/>
        <v>52.514285714285712</v>
      </c>
      <c r="Y140" s="78">
        <f t="shared" si="40"/>
        <v>77</v>
      </c>
      <c r="Z140" s="78"/>
      <c r="AA140" s="78">
        <f t="shared" si="42"/>
        <v>4043.6</v>
      </c>
    </row>
    <row r="141" spans="2:27">
      <c r="B141">
        <v>133</v>
      </c>
      <c r="C141" s="1459">
        <v>44926</v>
      </c>
      <c r="D141" s="1070"/>
      <c r="E141" s="1070"/>
      <c r="F141" s="1295"/>
      <c r="G141" s="1295"/>
      <c r="H141" s="1295"/>
      <c r="I141" s="1295"/>
      <c r="J141" s="1295"/>
      <c r="K141" s="1295">
        <v>45.64</v>
      </c>
      <c r="L141" s="463">
        <f t="shared" si="30"/>
        <v>45.64</v>
      </c>
      <c r="M141" s="78">
        <v>55</v>
      </c>
      <c r="N141" s="78"/>
      <c r="O141" s="78">
        <f t="shared" si="41"/>
        <v>2510.1999999999998</v>
      </c>
      <c r="P141" s="1070">
        <f t="shared" si="31"/>
        <v>0</v>
      </c>
      <c r="Q141" s="1070">
        <f t="shared" si="32"/>
        <v>0</v>
      </c>
      <c r="R141" s="1070">
        <f t="shared" si="33"/>
        <v>0</v>
      </c>
      <c r="S141" s="1070">
        <f t="shared" si="34"/>
        <v>0</v>
      </c>
      <c r="T141" s="1070">
        <f t="shared" si="35"/>
        <v>0</v>
      </c>
      <c r="U141" s="1070">
        <f t="shared" si="36"/>
        <v>0</v>
      </c>
      <c r="V141" s="1070">
        <f t="shared" si="37"/>
        <v>0</v>
      </c>
      <c r="W141" s="1070">
        <f t="shared" si="38"/>
        <v>32.6</v>
      </c>
      <c r="X141" s="463">
        <f t="shared" si="39"/>
        <v>32.6</v>
      </c>
      <c r="Y141" s="78">
        <f t="shared" si="40"/>
        <v>77</v>
      </c>
      <c r="Z141" s="78"/>
      <c r="AA141" s="78">
        <f t="shared" si="42"/>
        <v>2510.2000000000003</v>
      </c>
    </row>
    <row r="142" spans="2:27">
      <c r="B142">
        <v>147</v>
      </c>
      <c r="C142" s="1459">
        <v>45291</v>
      </c>
      <c r="D142" s="1070"/>
      <c r="E142" s="1070"/>
      <c r="F142" s="1295"/>
      <c r="G142" s="1295"/>
      <c r="H142" s="1295">
        <v>28.6</v>
      </c>
      <c r="I142" s="1295"/>
      <c r="J142" s="1295"/>
      <c r="K142" s="1295"/>
      <c r="L142" s="463">
        <f t="shared" si="30"/>
        <v>28.6</v>
      </c>
      <c r="M142" s="78">
        <v>58</v>
      </c>
      <c r="N142" s="78"/>
      <c r="O142" s="78">
        <f t="shared" si="41"/>
        <v>1658.8000000000002</v>
      </c>
      <c r="P142" s="1070">
        <f t="shared" si="31"/>
        <v>0</v>
      </c>
      <c r="Q142" s="1070">
        <f t="shared" si="32"/>
        <v>0</v>
      </c>
      <c r="R142" s="1070">
        <f t="shared" si="33"/>
        <v>0</v>
      </c>
      <c r="S142" s="1070">
        <f t="shared" si="34"/>
        <v>0</v>
      </c>
      <c r="T142" s="1070">
        <f t="shared" si="35"/>
        <v>20.428571428571431</v>
      </c>
      <c r="U142" s="1070">
        <f t="shared" si="36"/>
        <v>0</v>
      </c>
      <c r="V142" s="1070">
        <f t="shared" si="37"/>
        <v>0</v>
      </c>
      <c r="W142" s="1070">
        <f t="shared" si="38"/>
        <v>0</v>
      </c>
      <c r="X142" s="463">
        <f t="shared" si="39"/>
        <v>20.428571428571431</v>
      </c>
      <c r="Y142" s="78">
        <f t="shared" si="40"/>
        <v>81.199999999999989</v>
      </c>
      <c r="Z142" s="78"/>
      <c r="AA142" s="78">
        <f t="shared" si="42"/>
        <v>1658.8</v>
      </c>
    </row>
    <row r="143" spans="2:27">
      <c r="B143">
        <v>148</v>
      </c>
      <c r="C143" s="1459">
        <v>45291</v>
      </c>
      <c r="D143" s="1070"/>
      <c r="E143" s="1070"/>
      <c r="F143" s="1295"/>
      <c r="G143" s="1295"/>
      <c r="H143" s="1295">
        <v>27.18</v>
      </c>
      <c r="I143" s="1295"/>
      <c r="J143" s="1295"/>
      <c r="K143" s="1295"/>
      <c r="L143" s="463">
        <f t="shared" si="30"/>
        <v>27.18</v>
      </c>
      <c r="M143" s="78">
        <v>58</v>
      </c>
      <c r="N143" s="78"/>
      <c r="O143" s="78">
        <f t="shared" si="41"/>
        <v>1576.44</v>
      </c>
      <c r="P143" s="1070">
        <f t="shared" si="31"/>
        <v>0</v>
      </c>
      <c r="Q143" s="1070">
        <f t="shared" si="32"/>
        <v>0</v>
      </c>
      <c r="R143" s="1070">
        <f t="shared" si="33"/>
        <v>0</v>
      </c>
      <c r="S143" s="1070">
        <f t="shared" si="34"/>
        <v>0</v>
      </c>
      <c r="T143" s="1070">
        <f t="shared" si="35"/>
        <v>19.414285714285715</v>
      </c>
      <c r="U143" s="1070">
        <f t="shared" si="36"/>
        <v>0</v>
      </c>
      <c r="V143" s="1070">
        <f t="shared" si="37"/>
        <v>0</v>
      </c>
      <c r="W143" s="1070">
        <f t="shared" si="38"/>
        <v>0</v>
      </c>
      <c r="X143" s="463">
        <f t="shared" si="39"/>
        <v>19.414285714285715</v>
      </c>
      <c r="Y143" s="78">
        <f t="shared" si="40"/>
        <v>81.199999999999989</v>
      </c>
      <c r="Z143" s="78"/>
      <c r="AA143" s="78">
        <f t="shared" si="42"/>
        <v>1576.4399999999998</v>
      </c>
    </row>
    <row r="144" spans="2:27">
      <c r="B144">
        <v>149</v>
      </c>
      <c r="C144" s="1459">
        <v>45291</v>
      </c>
      <c r="D144" s="1070"/>
      <c r="E144" s="1070"/>
      <c r="F144" s="1295"/>
      <c r="G144" s="1295"/>
      <c r="H144" s="1295">
        <v>30.94</v>
      </c>
      <c r="I144" s="1295"/>
      <c r="J144" s="1295"/>
      <c r="K144" s="1295"/>
      <c r="L144" s="463">
        <f t="shared" si="30"/>
        <v>30.94</v>
      </c>
      <c r="M144" s="78">
        <v>58</v>
      </c>
      <c r="N144" s="78"/>
      <c r="O144" s="78">
        <f t="shared" si="41"/>
        <v>1794.52</v>
      </c>
      <c r="P144" s="1070">
        <f t="shared" si="31"/>
        <v>0</v>
      </c>
      <c r="Q144" s="1070">
        <f t="shared" si="32"/>
        <v>0</v>
      </c>
      <c r="R144" s="1070">
        <f t="shared" si="33"/>
        <v>0</v>
      </c>
      <c r="S144" s="1070">
        <f t="shared" si="34"/>
        <v>0</v>
      </c>
      <c r="T144" s="1070">
        <f t="shared" si="35"/>
        <v>22.1</v>
      </c>
      <c r="U144" s="1070">
        <f t="shared" si="36"/>
        <v>0</v>
      </c>
      <c r="V144" s="1070">
        <f t="shared" si="37"/>
        <v>0</v>
      </c>
      <c r="W144" s="1070">
        <f t="shared" si="38"/>
        <v>0</v>
      </c>
      <c r="X144" s="463">
        <f t="shared" si="39"/>
        <v>22.1</v>
      </c>
      <c r="Y144" s="78">
        <f t="shared" si="40"/>
        <v>81.199999999999989</v>
      </c>
      <c r="Z144" s="78"/>
      <c r="AA144" s="78">
        <f t="shared" si="42"/>
        <v>1794.5199999999998</v>
      </c>
    </row>
    <row r="145" spans="2:27">
      <c r="B145">
        <v>150</v>
      </c>
      <c r="C145" s="1459">
        <v>45291</v>
      </c>
      <c r="D145" s="1070"/>
      <c r="E145" s="1070"/>
      <c r="F145" s="1295"/>
      <c r="G145" s="1295"/>
      <c r="H145" s="1295">
        <v>27.6</v>
      </c>
      <c r="I145" s="1295"/>
      <c r="J145" s="1295"/>
      <c r="K145" s="1295"/>
      <c r="L145" s="463">
        <f t="shared" si="30"/>
        <v>27.6</v>
      </c>
      <c r="M145" s="78">
        <v>58</v>
      </c>
      <c r="N145" s="78"/>
      <c r="O145" s="78">
        <f t="shared" si="41"/>
        <v>1600.8000000000002</v>
      </c>
      <c r="P145" s="1070">
        <f t="shared" si="31"/>
        <v>0</v>
      </c>
      <c r="Q145" s="1070">
        <f t="shared" si="32"/>
        <v>0</v>
      </c>
      <c r="R145" s="1070">
        <f t="shared" si="33"/>
        <v>0</v>
      </c>
      <c r="S145" s="1070">
        <f t="shared" si="34"/>
        <v>0</v>
      </c>
      <c r="T145" s="1070">
        <f t="shared" si="35"/>
        <v>19.714285714285715</v>
      </c>
      <c r="U145" s="1070">
        <f t="shared" si="36"/>
        <v>0</v>
      </c>
      <c r="V145" s="1070">
        <f t="shared" si="37"/>
        <v>0</v>
      </c>
      <c r="W145" s="1070">
        <f t="shared" si="38"/>
        <v>0</v>
      </c>
      <c r="X145" s="463">
        <f t="shared" si="39"/>
        <v>19.714285714285715</v>
      </c>
      <c r="Y145" s="78">
        <f t="shared" si="40"/>
        <v>81.199999999999989</v>
      </c>
      <c r="Z145" s="78"/>
      <c r="AA145" s="78">
        <f t="shared" si="42"/>
        <v>1600.8</v>
      </c>
    </row>
    <row r="146" spans="2:27">
      <c r="B146">
        <v>151</v>
      </c>
      <c r="C146" s="1459">
        <v>45291</v>
      </c>
      <c r="D146" s="1070"/>
      <c r="E146" s="1070"/>
      <c r="F146" s="1295"/>
      <c r="G146" s="1295"/>
      <c r="H146" s="1295">
        <v>27.36</v>
      </c>
      <c r="I146" s="1295"/>
      <c r="J146" s="1295"/>
      <c r="K146" s="1295"/>
      <c r="L146" s="463">
        <f t="shared" si="30"/>
        <v>27.36</v>
      </c>
      <c r="M146" s="78">
        <v>58</v>
      </c>
      <c r="N146" s="78"/>
      <c r="O146" s="78">
        <f t="shared" si="41"/>
        <v>1586.8799999999999</v>
      </c>
      <c r="P146" s="1070">
        <f t="shared" si="31"/>
        <v>0</v>
      </c>
      <c r="Q146" s="1070">
        <f t="shared" si="32"/>
        <v>0</v>
      </c>
      <c r="R146" s="1070">
        <f t="shared" si="33"/>
        <v>0</v>
      </c>
      <c r="S146" s="1070">
        <f t="shared" si="34"/>
        <v>0</v>
      </c>
      <c r="T146" s="1070">
        <f t="shared" si="35"/>
        <v>19.542857142857144</v>
      </c>
      <c r="U146" s="1070">
        <f t="shared" si="36"/>
        <v>0</v>
      </c>
      <c r="V146" s="1070">
        <f t="shared" si="37"/>
        <v>0</v>
      </c>
      <c r="W146" s="1070">
        <f t="shared" si="38"/>
        <v>0</v>
      </c>
      <c r="X146" s="463">
        <f t="shared" si="39"/>
        <v>19.542857142857144</v>
      </c>
      <c r="Y146" s="78">
        <f t="shared" si="40"/>
        <v>81.199999999999989</v>
      </c>
      <c r="Z146" s="78"/>
      <c r="AA146" s="78">
        <f t="shared" si="42"/>
        <v>1586.8799999999999</v>
      </c>
    </row>
    <row r="147" spans="2:27">
      <c r="B147">
        <v>152</v>
      </c>
      <c r="C147" s="1459">
        <v>45291</v>
      </c>
      <c r="D147" s="1070"/>
      <c r="E147" s="1070"/>
      <c r="F147" s="1295"/>
      <c r="G147" s="1295"/>
      <c r="H147" s="1295">
        <v>27.14</v>
      </c>
      <c r="I147" s="1295"/>
      <c r="J147" s="1295"/>
      <c r="K147" s="1295"/>
      <c r="L147" s="463">
        <f t="shared" si="30"/>
        <v>27.14</v>
      </c>
      <c r="M147" s="78">
        <v>58</v>
      </c>
      <c r="N147" s="78"/>
      <c r="O147" s="78">
        <f t="shared" si="41"/>
        <v>1574.1200000000001</v>
      </c>
      <c r="P147" s="1070">
        <f t="shared" si="31"/>
        <v>0</v>
      </c>
      <c r="Q147" s="1070">
        <f t="shared" si="32"/>
        <v>0</v>
      </c>
      <c r="R147" s="1070">
        <f t="shared" si="33"/>
        <v>0</v>
      </c>
      <c r="S147" s="1070">
        <f t="shared" si="34"/>
        <v>0</v>
      </c>
      <c r="T147" s="1070">
        <f t="shared" si="35"/>
        <v>19.385714285714286</v>
      </c>
      <c r="U147" s="1070">
        <f t="shared" si="36"/>
        <v>0</v>
      </c>
      <c r="V147" s="1070">
        <f t="shared" si="37"/>
        <v>0</v>
      </c>
      <c r="W147" s="1070">
        <f t="shared" si="38"/>
        <v>0</v>
      </c>
      <c r="X147" s="463">
        <f t="shared" si="39"/>
        <v>19.385714285714286</v>
      </c>
      <c r="Y147" s="78">
        <f t="shared" si="40"/>
        <v>81.199999999999989</v>
      </c>
      <c r="Z147" s="78"/>
      <c r="AA147" s="78">
        <f t="shared" si="42"/>
        <v>1574.12</v>
      </c>
    </row>
    <row r="148" spans="2:27">
      <c r="B148">
        <v>153</v>
      </c>
      <c r="C148" s="1459">
        <v>45291</v>
      </c>
      <c r="D148" s="1070"/>
      <c r="E148" s="1070"/>
      <c r="F148" s="1295"/>
      <c r="G148" s="1295"/>
      <c r="H148" s="1295">
        <v>26.86</v>
      </c>
      <c r="I148" s="1295"/>
      <c r="J148" s="1295"/>
      <c r="K148" s="1295"/>
      <c r="L148" s="463">
        <f t="shared" si="30"/>
        <v>26.86</v>
      </c>
      <c r="M148" s="78">
        <v>58</v>
      </c>
      <c r="N148" s="78"/>
      <c r="O148" s="78">
        <f t="shared" si="41"/>
        <v>1557.8799999999999</v>
      </c>
      <c r="P148" s="1070">
        <f t="shared" si="31"/>
        <v>0</v>
      </c>
      <c r="Q148" s="1070">
        <f t="shared" si="32"/>
        <v>0</v>
      </c>
      <c r="R148" s="1070">
        <f t="shared" si="33"/>
        <v>0</v>
      </c>
      <c r="S148" s="1070">
        <f t="shared" si="34"/>
        <v>0</v>
      </c>
      <c r="T148" s="1070">
        <f t="shared" si="35"/>
        <v>19.185714285714287</v>
      </c>
      <c r="U148" s="1070">
        <f t="shared" si="36"/>
        <v>0</v>
      </c>
      <c r="V148" s="1070">
        <f t="shared" si="37"/>
        <v>0</v>
      </c>
      <c r="W148" s="1070">
        <f t="shared" si="38"/>
        <v>0</v>
      </c>
      <c r="X148" s="463">
        <f t="shared" si="39"/>
        <v>19.185714285714287</v>
      </c>
      <c r="Y148" s="78">
        <f t="shared" si="40"/>
        <v>81.199999999999989</v>
      </c>
      <c r="Z148" s="78"/>
      <c r="AA148" s="78">
        <f t="shared" si="42"/>
        <v>1557.8799999999999</v>
      </c>
    </row>
    <row r="149" spans="2:27">
      <c r="B149">
        <v>154</v>
      </c>
      <c r="C149" s="1459">
        <v>45291</v>
      </c>
      <c r="D149" s="1070"/>
      <c r="E149" s="1070"/>
      <c r="F149" s="1295"/>
      <c r="G149" s="1295"/>
      <c r="H149" s="1295">
        <v>27.88</v>
      </c>
      <c r="I149" s="1295"/>
      <c r="J149" s="1295"/>
      <c r="K149" s="1295"/>
      <c r="L149" s="463">
        <f t="shared" si="30"/>
        <v>27.88</v>
      </c>
      <c r="M149" s="78">
        <v>58</v>
      </c>
      <c r="N149" s="78"/>
      <c r="O149" s="78">
        <f t="shared" si="41"/>
        <v>1617.04</v>
      </c>
      <c r="P149" s="1070">
        <f t="shared" si="31"/>
        <v>0</v>
      </c>
      <c r="Q149" s="1070">
        <f t="shared" si="32"/>
        <v>0</v>
      </c>
      <c r="R149" s="1070">
        <f t="shared" si="33"/>
        <v>0</v>
      </c>
      <c r="S149" s="1070">
        <f t="shared" si="34"/>
        <v>0</v>
      </c>
      <c r="T149" s="1070">
        <f t="shared" si="35"/>
        <v>19.914285714285715</v>
      </c>
      <c r="U149" s="1070">
        <f t="shared" si="36"/>
        <v>0</v>
      </c>
      <c r="V149" s="1070">
        <f t="shared" si="37"/>
        <v>0</v>
      </c>
      <c r="W149" s="1070">
        <f t="shared" si="38"/>
        <v>0</v>
      </c>
      <c r="X149" s="463">
        <f t="shared" si="39"/>
        <v>19.914285714285715</v>
      </c>
      <c r="Y149" s="78">
        <f t="shared" si="40"/>
        <v>81.199999999999989</v>
      </c>
      <c r="Z149" s="78"/>
      <c r="AA149" s="78">
        <f t="shared" si="42"/>
        <v>1617.0399999999997</v>
      </c>
    </row>
    <row r="150" spans="2:27">
      <c r="B150">
        <v>155</v>
      </c>
      <c r="C150" s="1459">
        <v>45291</v>
      </c>
      <c r="D150" s="1070"/>
      <c r="E150" s="1070"/>
      <c r="F150" s="1295"/>
      <c r="G150" s="1295"/>
      <c r="H150" s="1295">
        <v>30.32</v>
      </c>
      <c r="I150" s="1295"/>
      <c r="J150" s="1295"/>
      <c r="K150" s="1295"/>
      <c r="L150" s="463">
        <f t="shared" si="30"/>
        <v>30.32</v>
      </c>
      <c r="M150" s="78">
        <v>58</v>
      </c>
      <c r="N150" s="78"/>
      <c r="O150" s="78">
        <f t="shared" si="41"/>
        <v>1758.56</v>
      </c>
      <c r="P150" s="1070">
        <f t="shared" si="31"/>
        <v>0</v>
      </c>
      <c r="Q150" s="1070">
        <f t="shared" si="32"/>
        <v>0</v>
      </c>
      <c r="R150" s="1070">
        <f t="shared" si="33"/>
        <v>0</v>
      </c>
      <c r="S150" s="1070">
        <f t="shared" si="34"/>
        <v>0</v>
      </c>
      <c r="T150" s="1070">
        <f t="shared" si="35"/>
        <v>21.657142857142858</v>
      </c>
      <c r="U150" s="1070">
        <f t="shared" si="36"/>
        <v>0</v>
      </c>
      <c r="V150" s="1070">
        <f t="shared" si="37"/>
        <v>0</v>
      </c>
      <c r="W150" s="1070">
        <f t="shared" si="38"/>
        <v>0</v>
      </c>
      <c r="X150" s="463">
        <f t="shared" si="39"/>
        <v>21.657142857142858</v>
      </c>
      <c r="Y150" s="78">
        <f t="shared" si="40"/>
        <v>81.199999999999989</v>
      </c>
      <c r="Z150" s="78"/>
      <c r="AA150" s="78">
        <f t="shared" si="42"/>
        <v>1758.56</v>
      </c>
    </row>
    <row r="151" spans="2:27">
      <c r="B151">
        <v>156</v>
      </c>
      <c r="C151" s="1459">
        <v>45291</v>
      </c>
      <c r="D151" s="1070"/>
      <c r="E151" s="1070"/>
      <c r="F151" s="1295"/>
      <c r="G151" s="1295"/>
      <c r="H151" s="1295">
        <v>29.98</v>
      </c>
      <c r="I151" s="1295"/>
      <c r="J151" s="1295"/>
      <c r="K151" s="1295"/>
      <c r="L151" s="463">
        <f t="shared" si="30"/>
        <v>29.98</v>
      </c>
      <c r="M151" s="78">
        <v>58</v>
      </c>
      <c r="N151" s="78"/>
      <c r="O151" s="78">
        <f t="shared" si="41"/>
        <v>1738.84</v>
      </c>
      <c r="P151" s="1070">
        <f t="shared" si="31"/>
        <v>0</v>
      </c>
      <c r="Q151" s="1070">
        <f t="shared" si="32"/>
        <v>0</v>
      </c>
      <c r="R151" s="1070">
        <f t="shared" si="33"/>
        <v>0</v>
      </c>
      <c r="S151" s="1070">
        <f t="shared" si="34"/>
        <v>0</v>
      </c>
      <c r="T151" s="1070">
        <f t="shared" si="35"/>
        <v>21.414285714285715</v>
      </c>
      <c r="U151" s="1070">
        <f t="shared" si="36"/>
        <v>0</v>
      </c>
      <c r="V151" s="1070">
        <f t="shared" si="37"/>
        <v>0</v>
      </c>
      <c r="W151" s="1070">
        <f t="shared" si="38"/>
        <v>0</v>
      </c>
      <c r="X151" s="463">
        <f t="shared" si="39"/>
        <v>21.414285714285715</v>
      </c>
      <c r="Y151" s="78">
        <f t="shared" si="40"/>
        <v>81.199999999999989</v>
      </c>
      <c r="Z151" s="78"/>
      <c r="AA151" s="78">
        <f t="shared" si="42"/>
        <v>1738.8399999999997</v>
      </c>
    </row>
    <row r="152" spans="2:27">
      <c r="B152">
        <v>157</v>
      </c>
      <c r="C152" s="1459">
        <v>45291</v>
      </c>
      <c r="D152" s="1070"/>
      <c r="E152" s="1070"/>
      <c r="F152" s="1295"/>
      <c r="G152" s="1295"/>
      <c r="H152" s="1295">
        <v>29.78</v>
      </c>
      <c r="I152" s="1295"/>
      <c r="J152" s="1295"/>
      <c r="K152" s="1295"/>
      <c r="L152" s="463">
        <f t="shared" si="30"/>
        <v>29.78</v>
      </c>
      <c r="M152" s="78">
        <v>58</v>
      </c>
      <c r="N152" s="78"/>
      <c r="O152" s="78">
        <f t="shared" si="41"/>
        <v>1727.24</v>
      </c>
      <c r="P152" s="1070">
        <f t="shared" si="31"/>
        <v>0</v>
      </c>
      <c r="Q152" s="1070">
        <f t="shared" si="32"/>
        <v>0</v>
      </c>
      <c r="R152" s="1070">
        <f t="shared" si="33"/>
        <v>0</v>
      </c>
      <c r="S152" s="1070">
        <f t="shared" si="34"/>
        <v>0</v>
      </c>
      <c r="T152" s="1070">
        <f t="shared" si="35"/>
        <v>21.271428571428572</v>
      </c>
      <c r="U152" s="1070">
        <f t="shared" si="36"/>
        <v>0</v>
      </c>
      <c r="V152" s="1070">
        <f t="shared" si="37"/>
        <v>0</v>
      </c>
      <c r="W152" s="1070">
        <f t="shared" si="38"/>
        <v>0</v>
      </c>
      <c r="X152" s="463">
        <f t="shared" si="39"/>
        <v>21.271428571428572</v>
      </c>
      <c r="Y152" s="78">
        <f t="shared" si="40"/>
        <v>81.199999999999989</v>
      </c>
      <c r="Z152" s="78"/>
      <c r="AA152" s="78">
        <f t="shared" si="42"/>
        <v>1727.2399999999998</v>
      </c>
    </row>
    <row r="153" spans="2:27">
      <c r="B153">
        <v>158</v>
      </c>
      <c r="C153" s="1459">
        <v>45291</v>
      </c>
      <c r="D153" s="1070"/>
      <c r="E153" s="1070"/>
      <c r="F153" s="1295"/>
      <c r="G153" s="1295"/>
      <c r="H153" s="1295"/>
      <c r="I153" s="1295"/>
      <c r="J153" s="1295"/>
      <c r="K153" s="1295"/>
      <c r="L153" s="463">
        <f t="shared" si="30"/>
        <v>0</v>
      </c>
      <c r="M153" s="78">
        <v>58</v>
      </c>
      <c r="N153" s="78"/>
      <c r="O153" s="78">
        <f t="shared" si="41"/>
        <v>0</v>
      </c>
      <c r="P153" s="1070">
        <f t="shared" si="31"/>
        <v>0</v>
      </c>
      <c r="Q153" s="1070">
        <f t="shared" si="32"/>
        <v>0</v>
      </c>
      <c r="R153" s="1070">
        <f t="shared" si="33"/>
        <v>0</v>
      </c>
      <c r="S153" s="1070">
        <f t="shared" si="34"/>
        <v>0</v>
      </c>
      <c r="T153" s="1070">
        <f t="shared" si="35"/>
        <v>0</v>
      </c>
      <c r="U153" s="1070">
        <f t="shared" si="36"/>
        <v>0</v>
      </c>
      <c r="V153" s="1070">
        <f t="shared" si="37"/>
        <v>0</v>
      </c>
      <c r="W153" s="1070">
        <f t="shared" si="38"/>
        <v>0</v>
      </c>
      <c r="X153" s="463">
        <f t="shared" si="39"/>
        <v>0</v>
      </c>
      <c r="Y153" s="78">
        <f t="shared" si="40"/>
        <v>81.199999999999989</v>
      </c>
      <c r="Z153" s="78"/>
      <c r="AA153" s="78">
        <f t="shared" si="42"/>
        <v>0</v>
      </c>
    </row>
    <row r="154" spans="2:27">
      <c r="B154">
        <v>159</v>
      </c>
      <c r="C154" s="1459">
        <v>45291</v>
      </c>
      <c r="D154" s="1070"/>
      <c r="E154" s="1070"/>
      <c r="F154" s="1295"/>
      <c r="G154" s="1295"/>
      <c r="H154" s="1295">
        <v>20.72</v>
      </c>
      <c r="I154" s="1295"/>
      <c r="J154" s="1295"/>
      <c r="K154" s="1295"/>
      <c r="L154" s="463">
        <f t="shared" si="30"/>
        <v>20.72</v>
      </c>
      <c r="M154" s="78">
        <v>58</v>
      </c>
      <c r="N154" s="78"/>
      <c r="O154" s="78">
        <f t="shared" si="41"/>
        <v>1201.76</v>
      </c>
      <c r="P154" s="1070">
        <f t="shared" si="31"/>
        <v>0</v>
      </c>
      <c r="Q154" s="1070">
        <f t="shared" si="32"/>
        <v>0</v>
      </c>
      <c r="R154" s="1070">
        <f t="shared" si="33"/>
        <v>0</v>
      </c>
      <c r="S154" s="1070">
        <f t="shared" si="34"/>
        <v>0</v>
      </c>
      <c r="T154" s="1070">
        <f t="shared" si="35"/>
        <v>14.8</v>
      </c>
      <c r="U154" s="1070">
        <f t="shared" si="36"/>
        <v>0</v>
      </c>
      <c r="V154" s="1070">
        <f t="shared" si="37"/>
        <v>0</v>
      </c>
      <c r="W154" s="1070">
        <f t="shared" si="38"/>
        <v>0</v>
      </c>
      <c r="X154" s="463">
        <f t="shared" si="39"/>
        <v>14.8</v>
      </c>
      <c r="Y154" s="78">
        <f t="shared" si="40"/>
        <v>81.199999999999989</v>
      </c>
      <c r="Z154" s="78"/>
      <c r="AA154" s="78">
        <f t="shared" si="42"/>
        <v>1201.76</v>
      </c>
    </row>
    <row r="155" spans="2:27">
      <c r="B155">
        <v>160</v>
      </c>
      <c r="C155" s="1459">
        <v>45291</v>
      </c>
      <c r="D155" s="1070"/>
      <c r="E155" s="1070"/>
      <c r="F155" s="1295"/>
      <c r="G155" s="1295"/>
      <c r="H155" s="1295">
        <v>26.28</v>
      </c>
      <c r="I155" s="1295"/>
      <c r="J155" s="1295"/>
      <c r="K155" s="1295"/>
      <c r="L155" s="463">
        <f t="shared" si="30"/>
        <v>26.28</v>
      </c>
      <c r="M155" s="78">
        <v>58</v>
      </c>
      <c r="N155" s="78"/>
      <c r="O155" s="78">
        <f t="shared" si="41"/>
        <v>1524.24</v>
      </c>
      <c r="P155" s="1070">
        <f t="shared" si="31"/>
        <v>0</v>
      </c>
      <c r="Q155" s="1070">
        <f t="shared" si="32"/>
        <v>0</v>
      </c>
      <c r="R155" s="1070">
        <f t="shared" si="33"/>
        <v>0</v>
      </c>
      <c r="S155" s="1070">
        <f t="shared" si="34"/>
        <v>0</v>
      </c>
      <c r="T155" s="1070">
        <f t="shared" si="35"/>
        <v>18.771428571428572</v>
      </c>
      <c r="U155" s="1070">
        <f t="shared" si="36"/>
        <v>0</v>
      </c>
      <c r="V155" s="1070">
        <f t="shared" si="37"/>
        <v>0</v>
      </c>
      <c r="W155" s="1070">
        <f t="shared" si="38"/>
        <v>0</v>
      </c>
      <c r="X155" s="463">
        <f t="shared" si="39"/>
        <v>18.771428571428572</v>
      </c>
      <c r="Y155" s="78">
        <f t="shared" si="40"/>
        <v>81.199999999999989</v>
      </c>
      <c r="Z155" s="78"/>
      <c r="AA155" s="78">
        <f t="shared" si="42"/>
        <v>1524.2399999999998</v>
      </c>
    </row>
    <row r="156" spans="2:27">
      <c r="B156">
        <v>161</v>
      </c>
      <c r="C156" s="1459">
        <v>45291</v>
      </c>
      <c r="D156" s="1070"/>
      <c r="E156" s="1070"/>
      <c r="F156" s="1295"/>
      <c r="G156" s="1295"/>
      <c r="H156" s="1295"/>
      <c r="I156" s="1295"/>
      <c r="J156" s="1295">
        <v>72.040000000000006</v>
      </c>
      <c r="K156" s="1295"/>
      <c r="L156" s="463">
        <f t="shared" si="30"/>
        <v>72.040000000000006</v>
      </c>
      <c r="M156" s="78">
        <v>58</v>
      </c>
      <c r="N156" s="78"/>
      <c r="O156" s="78">
        <f t="shared" si="41"/>
        <v>4178.3200000000006</v>
      </c>
      <c r="P156" s="1070">
        <f t="shared" si="31"/>
        <v>0</v>
      </c>
      <c r="Q156" s="1070">
        <f t="shared" si="32"/>
        <v>0</v>
      </c>
      <c r="R156" s="1070">
        <f t="shared" si="33"/>
        <v>0</v>
      </c>
      <c r="S156" s="1070">
        <f t="shared" si="34"/>
        <v>0</v>
      </c>
      <c r="T156" s="1070">
        <f t="shared" si="35"/>
        <v>0</v>
      </c>
      <c r="U156" s="1070">
        <f t="shared" si="36"/>
        <v>0</v>
      </c>
      <c r="V156" s="1070">
        <f t="shared" si="37"/>
        <v>51.457142857142863</v>
      </c>
      <c r="W156" s="1070">
        <f t="shared" si="38"/>
        <v>0</v>
      </c>
      <c r="X156" s="463">
        <f t="shared" si="39"/>
        <v>51.457142857142863</v>
      </c>
      <c r="Y156" s="78">
        <f t="shared" si="40"/>
        <v>81.199999999999989</v>
      </c>
      <c r="Z156" s="78"/>
      <c r="AA156" s="78">
        <f t="shared" si="42"/>
        <v>4178.32</v>
      </c>
    </row>
    <row r="157" spans="2:27">
      <c r="B157">
        <v>162</v>
      </c>
      <c r="C157" s="1459">
        <v>45291</v>
      </c>
      <c r="D157" s="1070"/>
      <c r="E157" s="1070"/>
      <c r="F157" s="1295"/>
      <c r="G157" s="1295"/>
      <c r="H157" s="1295"/>
      <c r="I157" s="1295"/>
      <c r="J157" s="1295">
        <v>71.239999999999995</v>
      </c>
      <c r="K157" s="1295"/>
      <c r="L157" s="463">
        <f t="shared" si="30"/>
        <v>71.239999999999995</v>
      </c>
      <c r="M157" s="78">
        <v>58</v>
      </c>
      <c r="N157" s="78"/>
      <c r="O157" s="78">
        <f t="shared" si="41"/>
        <v>4131.92</v>
      </c>
      <c r="P157" s="1070">
        <f t="shared" si="31"/>
        <v>0</v>
      </c>
      <c r="Q157" s="1070">
        <f t="shared" si="32"/>
        <v>0</v>
      </c>
      <c r="R157" s="1070">
        <f t="shared" si="33"/>
        <v>0</v>
      </c>
      <c r="S157" s="1070">
        <f t="shared" si="34"/>
        <v>0</v>
      </c>
      <c r="T157" s="1070">
        <f t="shared" si="35"/>
        <v>0</v>
      </c>
      <c r="U157" s="1070">
        <f t="shared" si="36"/>
        <v>0</v>
      </c>
      <c r="V157" s="1070">
        <f t="shared" si="37"/>
        <v>50.885714285714286</v>
      </c>
      <c r="W157" s="1070">
        <f t="shared" si="38"/>
        <v>0</v>
      </c>
      <c r="X157" s="463">
        <f t="shared" si="39"/>
        <v>50.885714285714286</v>
      </c>
      <c r="Y157" s="78">
        <f t="shared" si="40"/>
        <v>81.199999999999989</v>
      </c>
      <c r="Z157" s="78"/>
      <c r="AA157" s="78">
        <f t="shared" si="42"/>
        <v>4131.9199999999992</v>
      </c>
    </row>
    <row r="158" spans="2:27">
      <c r="B158">
        <v>163</v>
      </c>
      <c r="C158" s="1459">
        <v>45291</v>
      </c>
      <c r="D158" s="1070"/>
      <c r="E158" s="1070"/>
      <c r="F158" s="1295"/>
      <c r="G158" s="1295"/>
      <c r="H158" s="1295"/>
      <c r="I158" s="1295"/>
      <c r="J158" s="1295">
        <v>69.64</v>
      </c>
      <c r="K158" s="1295"/>
      <c r="L158" s="463">
        <f t="shared" si="30"/>
        <v>69.64</v>
      </c>
      <c r="M158" s="78">
        <v>58</v>
      </c>
      <c r="N158" s="78"/>
      <c r="O158" s="78">
        <f t="shared" si="41"/>
        <v>4039.12</v>
      </c>
      <c r="P158" s="1070">
        <f t="shared" si="31"/>
        <v>0</v>
      </c>
      <c r="Q158" s="1070">
        <f t="shared" si="32"/>
        <v>0</v>
      </c>
      <c r="R158" s="1070">
        <f t="shared" si="33"/>
        <v>0</v>
      </c>
      <c r="S158" s="1070">
        <f t="shared" si="34"/>
        <v>0</v>
      </c>
      <c r="T158" s="1070">
        <f t="shared" si="35"/>
        <v>0</v>
      </c>
      <c r="U158" s="1070">
        <f t="shared" si="36"/>
        <v>0</v>
      </c>
      <c r="V158" s="1070">
        <f t="shared" si="37"/>
        <v>49.742857142857147</v>
      </c>
      <c r="W158" s="1070">
        <f t="shared" si="38"/>
        <v>0</v>
      </c>
      <c r="X158" s="463">
        <f t="shared" si="39"/>
        <v>49.742857142857147</v>
      </c>
      <c r="Y158" s="78">
        <f t="shared" si="40"/>
        <v>81.199999999999989</v>
      </c>
      <c r="Z158" s="78"/>
      <c r="AA158" s="78">
        <f t="shared" si="42"/>
        <v>4039.12</v>
      </c>
    </row>
    <row r="159" spans="2:27">
      <c r="B159">
        <v>164</v>
      </c>
      <c r="C159" s="1459">
        <v>45291</v>
      </c>
      <c r="D159" s="1070"/>
      <c r="E159" s="1070"/>
      <c r="F159" s="1295"/>
      <c r="G159" s="1295"/>
      <c r="H159" s="1295"/>
      <c r="I159" s="1295"/>
      <c r="J159" s="1295">
        <v>67.760000000000005</v>
      </c>
      <c r="K159" s="1295"/>
      <c r="L159" s="463">
        <f t="shared" si="30"/>
        <v>67.760000000000005</v>
      </c>
      <c r="M159" s="78">
        <v>58</v>
      </c>
      <c r="N159" s="78"/>
      <c r="O159" s="78">
        <f t="shared" si="41"/>
        <v>3930.0800000000004</v>
      </c>
      <c r="P159" s="1070">
        <f t="shared" si="31"/>
        <v>0</v>
      </c>
      <c r="Q159" s="1070">
        <f t="shared" si="32"/>
        <v>0</v>
      </c>
      <c r="R159" s="1070">
        <f t="shared" si="33"/>
        <v>0</v>
      </c>
      <c r="S159" s="1070">
        <f t="shared" si="34"/>
        <v>0</v>
      </c>
      <c r="T159" s="1070">
        <f t="shared" si="35"/>
        <v>0</v>
      </c>
      <c r="U159" s="1070">
        <f t="shared" si="36"/>
        <v>0</v>
      </c>
      <c r="V159" s="1070">
        <f t="shared" si="37"/>
        <v>48.400000000000006</v>
      </c>
      <c r="W159" s="1070">
        <f t="shared" si="38"/>
        <v>0</v>
      </c>
      <c r="X159" s="463">
        <f t="shared" si="39"/>
        <v>48.400000000000006</v>
      </c>
      <c r="Y159" s="78">
        <f t="shared" si="40"/>
        <v>81.199999999999989</v>
      </c>
      <c r="Z159" s="78"/>
      <c r="AA159" s="78">
        <f t="shared" si="42"/>
        <v>3930.08</v>
      </c>
    </row>
    <row r="160" spans="2:27">
      <c r="B160">
        <v>165</v>
      </c>
      <c r="C160" s="1459">
        <v>45291</v>
      </c>
      <c r="D160" s="1070"/>
      <c r="E160" s="1070"/>
      <c r="F160" s="1295"/>
      <c r="G160" s="1295"/>
      <c r="H160" s="1295"/>
      <c r="I160" s="1295"/>
      <c r="J160" s="1463">
        <v>69.739999999999995</v>
      </c>
      <c r="K160" s="1295"/>
      <c r="L160" s="463">
        <f t="shared" si="30"/>
        <v>69.739999999999995</v>
      </c>
      <c r="M160" s="78">
        <v>58</v>
      </c>
      <c r="N160" s="78"/>
      <c r="O160" s="78">
        <f t="shared" si="41"/>
        <v>4044.9199999999996</v>
      </c>
      <c r="P160" s="1070">
        <f t="shared" si="31"/>
        <v>0</v>
      </c>
      <c r="Q160" s="1070">
        <f t="shared" si="32"/>
        <v>0</v>
      </c>
      <c r="R160" s="1070">
        <f t="shared" si="33"/>
        <v>0</v>
      </c>
      <c r="S160" s="1070">
        <f t="shared" si="34"/>
        <v>0</v>
      </c>
      <c r="T160" s="1070">
        <f t="shared" si="35"/>
        <v>0</v>
      </c>
      <c r="U160" s="1070">
        <f t="shared" si="36"/>
        <v>0</v>
      </c>
      <c r="V160" s="1070">
        <f t="shared" si="37"/>
        <v>49.814285714285717</v>
      </c>
      <c r="W160" s="1070">
        <f t="shared" si="38"/>
        <v>0</v>
      </c>
      <c r="X160" s="463">
        <f t="shared" si="39"/>
        <v>49.814285714285717</v>
      </c>
      <c r="Y160" s="78">
        <f t="shared" si="40"/>
        <v>81.199999999999989</v>
      </c>
      <c r="Z160" s="78"/>
      <c r="AA160" s="78">
        <f t="shared" si="42"/>
        <v>4044.9199999999996</v>
      </c>
    </row>
    <row r="161" spans="2:27">
      <c r="B161">
        <v>166</v>
      </c>
      <c r="C161" s="1459">
        <v>45291</v>
      </c>
      <c r="D161" s="1070"/>
      <c r="E161" s="1070"/>
      <c r="F161" s="1295"/>
      <c r="G161" s="1295"/>
      <c r="H161" s="1295"/>
      <c r="I161" s="1295"/>
      <c r="J161" s="1295">
        <v>72.319999999999993</v>
      </c>
      <c r="K161" s="1295"/>
      <c r="L161" s="463">
        <f t="shared" si="30"/>
        <v>72.319999999999993</v>
      </c>
      <c r="M161" s="78">
        <v>58</v>
      </c>
      <c r="N161" s="78"/>
      <c r="O161" s="78">
        <f t="shared" si="41"/>
        <v>4194.5599999999995</v>
      </c>
      <c r="P161" s="1070">
        <f t="shared" si="31"/>
        <v>0</v>
      </c>
      <c r="Q161" s="1070">
        <f t="shared" si="32"/>
        <v>0</v>
      </c>
      <c r="R161" s="1070">
        <f t="shared" si="33"/>
        <v>0</v>
      </c>
      <c r="S161" s="1070">
        <f t="shared" si="34"/>
        <v>0</v>
      </c>
      <c r="T161" s="1070">
        <f t="shared" si="35"/>
        <v>0</v>
      </c>
      <c r="U161" s="1070">
        <f t="shared" si="36"/>
        <v>0</v>
      </c>
      <c r="V161" s="1070">
        <f t="shared" si="37"/>
        <v>51.657142857142858</v>
      </c>
      <c r="W161" s="1070">
        <f t="shared" si="38"/>
        <v>0</v>
      </c>
      <c r="X161" s="463">
        <f t="shared" si="39"/>
        <v>51.657142857142858</v>
      </c>
      <c r="Y161" s="78">
        <f t="shared" si="40"/>
        <v>81.199999999999989</v>
      </c>
      <c r="Z161" s="78"/>
      <c r="AA161" s="78">
        <f t="shared" si="42"/>
        <v>4194.5599999999995</v>
      </c>
    </row>
    <row r="162" spans="2:27">
      <c r="B162">
        <v>167</v>
      </c>
      <c r="C162" s="1459">
        <v>45291</v>
      </c>
      <c r="D162" s="1070"/>
      <c r="E162" s="1070"/>
      <c r="F162" s="1295"/>
      <c r="G162" s="1295"/>
      <c r="H162" s="1295"/>
      <c r="I162" s="1295"/>
      <c r="J162" s="1295">
        <v>72.180000000000007</v>
      </c>
      <c r="K162" s="1295"/>
      <c r="L162" s="463">
        <f t="shared" si="30"/>
        <v>72.180000000000007</v>
      </c>
      <c r="M162" s="78">
        <v>58</v>
      </c>
      <c r="N162" s="78"/>
      <c r="O162" s="78">
        <f t="shared" si="41"/>
        <v>4186.4400000000005</v>
      </c>
      <c r="P162" s="1070">
        <f t="shared" si="31"/>
        <v>0</v>
      </c>
      <c r="Q162" s="1070">
        <f t="shared" si="32"/>
        <v>0</v>
      </c>
      <c r="R162" s="1070">
        <f t="shared" si="33"/>
        <v>0</v>
      </c>
      <c r="S162" s="1070">
        <f t="shared" si="34"/>
        <v>0</v>
      </c>
      <c r="T162" s="1070">
        <f t="shared" si="35"/>
        <v>0</v>
      </c>
      <c r="U162" s="1070">
        <f t="shared" si="36"/>
        <v>0</v>
      </c>
      <c r="V162" s="1070">
        <f t="shared" si="37"/>
        <v>51.557142857142864</v>
      </c>
      <c r="W162" s="1070">
        <f t="shared" si="38"/>
        <v>0</v>
      </c>
      <c r="X162" s="463">
        <f t="shared" si="39"/>
        <v>51.557142857142864</v>
      </c>
      <c r="Y162" s="78">
        <f t="shared" si="40"/>
        <v>81.199999999999989</v>
      </c>
      <c r="Z162" s="78"/>
      <c r="AA162" s="78">
        <f t="shared" si="42"/>
        <v>4186.4399999999996</v>
      </c>
    </row>
    <row r="163" spans="2:27">
      <c r="B163">
        <v>168</v>
      </c>
      <c r="C163" s="1459">
        <v>45291</v>
      </c>
      <c r="D163" s="1070"/>
      <c r="E163" s="1070"/>
      <c r="F163" s="1295"/>
      <c r="G163" s="1295"/>
      <c r="H163" s="1295"/>
      <c r="I163" s="1295"/>
      <c r="J163" s="1295">
        <v>70.38</v>
      </c>
      <c r="K163" s="1295"/>
      <c r="L163" s="463">
        <f t="shared" si="30"/>
        <v>70.38</v>
      </c>
      <c r="M163" s="78">
        <v>58</v>
      </c>
      <c r="N163" s="78"/>
      <c r="O163" s="78">
        <f t="shared" si="41"/>
        <v>4082.04</v>
      </c>
      <c r="P163" s="1070">
        <f t="shared" si="31"/>
        <v>0</v>
      </c>
      <c r="Q163" s="1070">
        <f t="shared" si="32"/>
        <v>0</v>
      </c>
      <c r="R163" s="1070">
        <f t="shared" si="33"/>
        <v>0</v>
      </c>
      <c r="S163" s="1070">
        <f t="shared" si="34"/>
        <v>0</v>
      </c>
      <c r="T163" s="1070">
        <f t="shared" si="35"/>
        <v>0</v>
      </c>
      <c r="U163" s="1070">
        <f t="shared" si="36"/>
        <v>0</v>
      </c>
      <c r="V163" s="1070">
        <f t="shared" si="37"/>
        <v>50.271428571428572</v>
      </c>
      <c r="W163" s="1070">
        <f t="shared" si="38"/>
        <v>0</v>
      </c>
      <c r="X163" s="463">
        <f t="shared" si="39"/>
        <v>50.271428571428572</v>
      </c>
      <c r="Y163" s="78">
        <f t="shared" si="40"/>
        <v>81.199999999999989</v>
      </c>
      <c r="Z163" s="78"/>
      <c r="AA163" s="78">
        <f t="shared" si="42"/>
        <v>4082.0399999999995</v>
      </c>
    </row>
    <row r="164" spans="2:27">
      <c r="B164">
        <v>169</v>
      </c>
      <c r="C164" s="1459">
        <v>45291</v>
      </c>
      <c r="D164" s="1070"/>
      <c r="E164" s="1070"/>
      <c r="F164" s="1295"/>
      <c r="G164" s="1295"/>
      <c r="H164" s="1295"/>
      <c r="I164" s="1295"/>
      <c r="J164" s="1295">
        <v>70.34</v>
      </c>
      <c r="K164" s="1295"/>
      <c r="L164" s="463">
        <f t="shared" si="30"/>
        <v>70.34</v>
      </c>
      <c r="M164" s="78">
        <v>58</v>
      </c>
      <c r="N164" s="78"/>
      <c r="O164" s="78">
        <f t="shared" si="41"/>
        <v>4079.7200000000003</v>
      </c>
      <c r="P164" s="1070">
        <f t="shared" si="31"/>
        <v>0</v>
      </c>
      <c r="Q164" s="1070">
        <f t="shared" si="32"/>
        <v>0</v>
      </c>
      <c r="R164" s="1070">
        <f t="shared" si="33"/>
        <v>0</v>
      </c>
      <c r="S164" s="1070">
        <f t="shared" si="34"/>
        <v>0</v>
      </c>
      <c r="T164" s="1070">
        <f t="shared" si="35"/>
        <v>0</v>
      </c>
      <c r="U164" s="1070">
        <f t="shared" si="36"/>
        <v>0</v>
      </c>
      <c r="V164" s="1070">
        <f t="shared" si="37"/>
        <v>50.242857142857147</v>
      </c>
      <c r="W164" s="1070">
        <f t="shared" si="38"/>
        <v>0</v>
      </c>
      <c r="X164" s="463">
        <f t="shared" si="39"/>
        <v>50.242857142857147</v>
      </c>
      <c r="Y164" s="78">
        <f t="shared" si="40"/>
        <v>81.199999999999989</v>
      </c>
      <c r="Z164" s="78"/>
      <c r="AA164" s="78">
        <f t="shared" si="42"/>
        <v>4079.72</v>
      </c>
    </row>
    <row r="165" spans="2:27">
      <c r="B165">
        <v>170</v>
      </c>
      <c r="C165" s="1459">
        <v>45291</v>
      </c>
      <c r="D165" s="1070"/>
      <c r="E165" s="1070"/>
      <c r="F165" s="1295"/>
      <c r="G165" s="1295"/>
      <c r="H165" s="1295"/>
      <c r="I165" s="1295"/>
      <c r="J165" s="1295">
        <v>71.78</v>
      </c>
      <c r="K165" s="1295"/>
      <c r="L165" s="463">
        <f t="shared" si="30"/>
        <v>71.78</v>
      </c>
      <c r="M165" s="78">
        <v>58</v>
      </c>
      <c r="N165" s="78"/>
      <c r="O165" s="78">
        <f t="shared" si="41"/>
        <v>4163.24</v>
      </c>
      <c r="P165" s="1070">
        <f t="shared" si="31"/>
        <v>0</v>
      </c>
      <c r="Q165" s="1070">
        <f t="shared" si="32"/>
        <v>0</v>
      </c>
      <c r="R165" s="1070">
        <f t="shared" si="33"/>
        <v>0</v>
      </c>
      <c r="S165" s="1070">
        <f t="shared" si="34"/>
        <v>0</v>
      </c>
      <c r="T165" s="1070">
        <f t="shared" si="35"/>
        <v>0</v>
      </c>
      <c r="U165" s="1070">
        <f t="shared" si="36"/>
        <v>0</v>
      </c>
      <c r="V165" s="1070">
        <f t="shared" si="37"/>
        <v>51.271428571428572</v>
      </c>
      <c r="W165" s="1070">
        <f t="shared" si="38"/>
        <v>0</v>
      </c>
      <c r="X165" s="463">
        <f t="shared" si="39"/>
        <v>51.271428571428572</v>
      </c>
      <c r="Y165" s="78">
        <f t="shared" si="40"/>
        <v>81.199999999999989</v>
      </c>
      <c r="Z165" s="78"/>
      <c r="AA165" s="78">
        <f t="shared" si="42"/>
        <v>4163.24</v>
      </c>
    </row>
    <row r="166" spans="2:27">
      <c r="B166">
        <v>171</v>
      </c>
      <c r="C166" s="1459">
        <v>45291</v>
      </c>
      <c r="D166" s="1070"/>
      <c r="E166" s="1070"/>
      <c r="F166" s="1295"/>
      <c r="G166" s="1295"/>
      <c r="H166" s="1295"/>
      <c r="I166" s="1295"/>
      <c r="J166" s="1295">
        <v>72.16</v>
      </c>
      <c r="K166" s="1295"/>
      <c r="L166" s="463">
        <f t="shared" si="30"/>
        <v>72.16</v>
      </c>
      <c r="M166" s="78">
        <v>58</v>
      </c>
      <c r="N166" s="78"/>
      <c r="O166" s="78">
        <f t="shared" si="41"/>
        <v>4185.28</v>
      </c>
      <c r="P166" s="1070">
        <f t="shared" si="31"/>
        <v>0</v>
      </c>
      <c r="Q166" s="1070">
        <f t="shared" si="32"/>
        <v>0</v>
      </c>
      <c r="R166" s="1070">
        <f t="shared" si="33"/>
        <v>0</v>
      </c>
      <c r="S166" s="1070">
        <f t="shared" si="34"/>
        <v>0</v>
      </c>
      <c r="T166" s="1070">
        <f t="shared" si="35"/>
        <v>0</v>
      </c>
      <c r="U166" s="1070">
        <f t="shared" si="36"/>
        <v>0</v>
      </c>
      <c r="V166" s="1070">
        <f t="shared" si="37"/>
        <v>51.542857142857144</v>
      </c>
      <c r="W166" s="1070">
        <f t="shared" si="38"/>
        <v>0</v>
      </c>
      <c r="X166" s="463">
        <f t="shared" si="39"/>
        <v>51.542857142857144</v>
      </c>
      <c r="Y166" s="78">
        <f t="shared" si="40"/>
        <v>81.199999999999989</v>
      </c>
      <c r="Z166" s="78"/>
      <c r="AA166" s="78">
        <f t="shared" si="42"/>
        <v>4185.28</v>
      </c>
    </row>
    <row r="167" spans="2:27">
      <c r="B167">
        <v>172</v>
      </c>
      <c r="C167" s="1459">
        <v>45291</v>
      </c>
      <c r="D167" s="1070"/>
      <c r="E167" s="1070"/>
      <c r="F167" s="1295"/>
      <c r="G167" s="1295"/>
      <c r="H167" s="1295"/>
      <c r="I167" s="1295"/>
      <c r="J167" s="1295">
        <v>72.540000000000006</v>
      </c>
      <c r="K167" s="1295"/>
      <c r="L167" s="463">
        <f t="shared" si="30"/>
        <v>72.540000000000006</v>
      </c>
      <c r="M167" s="78">
        <v>58</v>
      </c>
      <c r="N167" s="78"/>
      <c r="O167" s="78">
        <f t="shared" si="41"/>
        <v>4207.3200000000006</v>
      </c>
      <c r="P167" s="1070">
        <f t="shared" si="31"/>
        <v>0</v>
      </c>
      <c r="Q167" s="1070">
        <f t="shared" si="32"/>
        <v>0</v>
      </c>
      <c r="R167" s="1070">
        <f t="shared" si="33"/>
        <v>0</v>
      </c>
      <c r="S167" s="1070">
        <f t="shared" si="34"/>
        <v>0</v>
      </c>
      <c r="T167" s="1070">
        <f t="shared" si="35"/>
        <v>0</v>
      </c>
      <c r="U167" s="1070">
        <f t="shared" si="36"/>
        <v>0</v>
      </c>
      <c r="V167" s="1070">
        <f t="shared" si="37"/>
        <v>51.814285714285724</v>
      </c>
      <c r="W167" s="1070">
        <f t="shared" si="38"/>
        <v>0</v>
      </c>
      <c r="X167" s="463">
        <f t="shared" si="39"/>
        <v>51.814285714285724</v>
      </c>
      <c r="Y167" s="78">
        <f t="shared" si="40"/>
        <v>81.199999999999989</v>
      </c>
      <c r="Z167" s="78"/>
      <c r="AA167" s="78">
        <f t="shared" si="42"/>
        <v>4207.3200000000006</v>
      </c>
    </row>
    <row r="168" spans="2:27">
      <c r="B168">
        <v>173</v>
      </c>
      <c r="C168" s="1459">
        <v>45291</v>
      </c>
      <c r="D168" s="1070"/>
      <c r="E168" s="1070"/>
      <c r="F168" s="1295"/>
      <c r="G168" s="1295"/>
      <c r="H168" s="1295"/>
      <c r="I168" s="1295"/>
      <c r="J168" s="1295">
        <v>50.98</v>
      </c>
      <c r="K168" s="1295"/>
      <c r="L168" s="463">
        <f t="shared" si="30"/>
        <v>50.98</v>
      </c>
      <c r="M168" s="78">
        <v>58</v>
      </c>
      <c r="N168" s="78"/>
      <c r="O168" s="78">
        <f t="shared" si="41"/>
        <v>2956.8399999999997</v>
      </c>
      <c r="P168" s="1070">
        <f t="shared" si="31"/>
        <v>0</v>
      </c>
      <c r="Q168" s="1070">
        <f t="shared" si="32"/>
        <v>0</v>
      </c>
      <c r="R168" s="1070">
        <f t="shared" si="33"/>
        <v>0</v>
      </c>
      <c r="S168" s="1070">
        <f t="shared" si="34"/>
        <v>0</v>
      </c>
      <c r="T168" s="1070">
        <f t="shared" si="35"/>
        <v>0</v>
      </c>
      <c r="U168" s="1070">
        <f t="shared" si="36"/>
        <v>0</v>
      </c>
      <c r="V168" s="1070">
        <f t="shared" si="37"/>
        <v>36.414285714285711</v>
      </c>
      <c r="W168" s="1070">
        <f t="shared" si="38"/>
        <v>0</v>
      </c>
      <c r="X168" s="463">
        <f t="shared" si="39"/>
        <v>36.414285714285711</v>
      </c>
      <c r="Y168" s="78">
        <f t="shared" si="40"/>
        <v>81.199999999999989</v>
      </c>
      <c r="Z168" s="78"/>
      <c r="AA168" s="78">
        <f t="shared" si="42"/>
        <v>2956.8399999999992</v>
      </c>
    </row>
    <row r="169" spans="2:27">
      <c r="B169">
        <v>174</v>
      </c>
      <c r="C169" s="1459">
        <v>45291</v>
      </c>
      <c r="D169" s="1070"/>
      <c r="E169" s="1070"/>
      <c r="F169" s="1295"/>
      <c r="G169" s="1295"/>
      <c r="H169" s="1295"/>
      <c r="I169" s="1295"/>
      <c r="J169" s="1295">
        <v>72.400000000000006</v>
      </c>
      <c r="K169" s="1295"/>
      <c r="L169" s="463">
        <f t="shared" si="30"/>
        <v>72.400000000000006</v>
      </c>
      <c r="M169" s="78">
        <v>58</v>
      </c>
      <c r="N169" s="78"/>
      <c r="O169" s="78">
        <f t="shared" si="41"/>
        <v>4199.2000000000007</v>
      </c>
      <c r="P169" s="1070">
        <f t="shared" si="31"/>
        <v>0</v>
      </c>
      <c r="Q169" s="1070">
        <f t="shared" si="32"/>
        <v>0</v>
      </c>
      <c r="R169" s="1070">
        <f t="shared" si="33"/>
        <v>0</v>
      </c>
      <c r="S169" s="1070">
        <f t="shared" si="34"/>
        <v>0</v>
      </c>
      <c r="T169" s="1070">
        <f t="shared" si="35"/>
        <v>0</v>
      </c>
      <c r="U169" s="1070">
        <f t="shared" si="36"/>
        <v>0</v>
      </c>
      <c r="V169" s="1070">
        <f t="shared" si="37"/>
        <v>51.714285714285722</v>
      </c>
      <c r="W169" s="1070">
        <f t="shared" si="38"/>
        <v>0</v>
      </c>
      <c r="X169" s="463">
        <f t="shared" si="39"/>
        <v>51.714285714285722</v>
      </c>
      <c r="Y169" s="78">
        <f t="shared" si="40"/>
        <v>81.199999999999989</v>
      </c>
      <c r="Z169" s="78"/>
      <c r="AA169" s="78">
        <f t="shared" si="42"/>
        <v>4199.2</v>
      </c>
    </row>
    <row r="170" spans="2:27">
      <c r="B170">
        <v>175</v>
      </c>
      <c r="C170" s="1459">
        <v>45291</v>
      </c>
      <c r="D170" s="1070"/>
      <c r="E170" s="1070"/>
      <c r="F170" s="1295"/>
      <c r="G170" s="1295"/>
      <c r="H170" s="1295"/>
      <c r="I170" s="1295"/>
      <c r="J170" s="1295">
        <v>72.040000000000006</v>
      </c>
      <c r="K170" s="1295"/>
      <c r="L170" s="463">
        <f t="shared" si="30"/>
        <v>72.040000000000006</v>
      </c>
      <c r="M170" s="78">
        <v>58</v>
      </c>
      <c r="N170" s="78"/>
      <c r="O170" s="78">
        <f t="shared" si="41"/>
        <v>4178.3200000000006</v>
      </c>
      <c r="P170" s="1070">
        <f t="shared" si="31"/>
        <v>0</v>
      </c>
      <c r="Q170" s="1070">
        <f t="shared" si="32"/>
        <v>0</v>
      </c>
      <c r="R170" s="1070">
        <f t="shared" si="33"/>
        <v>0</v>
      </c>
      <c r="S170" s="1070">
        <f t="shared" si="34"/>
        <v>0</v>
      </c>
      <c r="T170" s="1070">
        <f t="shared" si="35"/>
        <v>0</v>
      </c>
      <c r="U170" s="1070">
        <f t="shared" si="36"/>
        <v>0</v>
      </c>
      <c r="V170" s="1070">
        <f t="shared" si="37"/>
        <v>51.457142857142863</v>
      </c>
      <c r="W170" s="1070">
        <f t="shared" si="38"/>
        <v>0</v>
      </c>
      <c r="X170" s="463">
        <f t="shared" si="39"/>
        <v>51.457142857142863</v>
      </c>
      <c r="Y170" s="78">
        <f t="shared" si="40"/>
        <v>81.199999999999989</v>
      </c>
      <c r="Z170" s="78"/>
      <c r="AA170" s="78">
        <f t="shared" si="42"/>
        <v>4178.32</v>
      </c>
    </row>
    <row r="171" spans="2:27">
      <c r="B171">
        <v>176</v>
      </c>
      <c r="C171" s="1459">
        <v>45291</v>
      </c>
      <c r="D171" s="1070"/>
      <c r="E171" s="1070"/>
      <c r="F171" s="1295"/>
      <c r="G171" s="1295"/>
      <c r="H171" s="1295"/>
      <c r="I171" s="1295"/>
      <c r="J171" s="1295">
        <v>64.36</v>
      </c>
      <c r="K171" s="1295"/>
      <c r="L171" s="463">
        <f t="shared" si="30"/>
        <v>64.36</v>
      </c>
      <c r="M171" s="78">
        <v>58</v>
      </c>
      <c r="N171" s="78"/>
      <c r="O171" s="78">
        <f t="shared" si="41"/>
        <v>3732.88</v>
      </c>
      <c r="P171" s="1070">
        <f t="shared" si="31"/>
        <v>0</v>
      </c>
      <c r="Q171" s="1070">
        <f t="shared" si="32"/>
        <v>0</v>
      </c>
      <c r="R171" s="1070">
        <f t="shared" si="33"/>
        <v>0</v>
      </c>
      <c r="S171" s="1070">
        <f t="shared" si="34"/>
        <v>0</v>
      </c>
      <c r="T171" s="1070">
        <f t="shared" si="35"/>
        <v>0</v>
      </c>
      <c r="U171" s="1070">
        <f t="shared" si="36"/>
        <v>0</v>
      </c>
      <c r="V171" s="1070">
        <f t="shared" si="37"/>
        <v>45.971428571428575</v>
      </c>
      <c r="W171" s="1070">
        <f t="shared" si="38"/>
        <v>0</v>
      </c>
      <c r="X171" s="463">
        <f t="shared" si="39"/>
        <v>45.971428571428575</v>
      </c>
      <c r="Y171" s="78">
        <f t="shared" si="40"/>
        <v>81.199999999999989</v>
      </c>
      <c r="Z171" s="78"/>
      <c r="AA171" s="78">
        <f t="shared" si="42"/>
        <v>3732.8799999999997</v>
      </c>
    </row>
    <row r="172" spans="2:27">
      <c r="B172">
        <v>177</v>
      </c>
      <c r="C172" s="1459">
        <v>45291</v>
      </c>
      <c r="D172" s="1070"/>
      <c r="E172" s="1070"/>
      <c r="F172" s="1295"/>
      <c r="G172" s="1295"/>
      <c r="H172" s="1295"/>
      <c r="I172" s="1295"/>
      <c r="J172" s="1295">
        <v>25.28</v>
      </c>
      <c r="K172" s="1295"/>
      <c r="L172" s="463">
        <f t="shared" si="30"/>
        <v>25.28</v>
      </c>
      <c r="M172" s="78">
        <v>58</v>
      </c>
      <c r="N172" s="78"/>
      <c r="O172" s="78">
        <f t="shared" si="41"/>
        <v>1466.24</v>
      </c>
      <c r="P172" s="1070">
        <f t="shared" si="31"/>
        <v>0</v>
      </c>
      <c r="Q172" s="1070">
        <f t="shared" si="32"/>
        <v>0</v>
      </c>
      <c r="R172" s="1070">
        <f t="shared" si="33"/>
        <v>0</v>
      </c>
      <c r="S172" s="1070">
        <f t="shared" si="34"/>
        <v>0</v>
      </c>
      <c r="T172" s="1070">
        <f t="shared" si="35"/>
        <v>0</v>
      </c>
      <c r="U172" s="1070">
        <f t="shared" si="36"/>
        <v>0</v>
      </c>
      <c r="V172" s="1070">
        <f t="shared" si="37"/>
        <v>18.05714285714286</v>
      </c>
      <c r="W172" s="1070">
        <f t="shared" si="38"/>
        <v>0</v>
      </c>
      <c r="X172" s="463">
        <f t="shared" si="39"/>
        <v>18.05714285714286</v>
      </c>
      <c r="Y172" s="78">
        <f t="shared" si="40"/>
        <v>81.199999999999989</v>
      </c>
      <c r="Z172" s="78"/>
      <c r="AA172" s="78">
        <f t="shared" si="42"/>
        <v>1466.24</v>
      </c>
    </row>
    <row r="173" spans="2:27">
      <c r="B173">
        <v>178</v>
      </c>
      <c r="C173" s="1459">
        <v>45291</v>
      </c>
      <c r="D173" s="1070"/>
      <c r="E173" s="1070"/>
      <c r="F173" s="1295"/>
      <c r="G173" s="1295"/>
      <c r="H173" s="1295"/>
      <c r="I173" s="1295"/>
      <c r="J173" s="1295">
        <v>70.099999999999994</v>
      </c>
      <c r="K173" s="1295"/>
      <c r="L173" s="463">
        <f t="shared" si="30"/>
        <v>70.099999999999994</v>
      </c>
      <c r="M173" s="78">
        <v>58</v>
      </c>
      <c r="N173" s="78"/>
      <c r="O173" s="78">
        <f t="shared" si="41"/>
        <v>4065.7999999999997</v>
      </c>
      <c r="P173" s="1070">
        <f t="shared" si="31"/>
        <v>0</v>
      </c>
      <c r="Q173" s="1070">
        <f t="shared" si="32"/>
        <v>0</v>
      </c>
      <c r="R173" s="1070">
        <f t="shared" si="33"/>
        <v>0</v>
      </c>
      <c r="S173" s="1070">
        <f t="shared" si="34"/>
        <v>0</v>
      </c>
      <c r="T173" s="1070">
        <f t="shared" si="35"/>
        <v>0</v>
      </c>
      <c r="U173" s="1070">
        <f t="shared" si="36"/>
        <v>0</v>
      </c>
      <c r="V173" s="1070">
        <f t="shared" si="37"/>
        <v>50.071428571428569</v>
      </c>
      <c r="W173" s="1070">
        <f t="shared" si="38"/>
        <v>0</v>
      </c>
      <c r="X173" s="463">
        <f t="shared" si="39"/>
        <v>50.071428571428569</v>
      </c>
      <c r="Y173" s="78">
        <f t="shared" si="40"/>
        <v>81.199999999999989</v>
      </c>
      <c r="Z173" s="78"/>
      <c r="AA173" s="78">
        <f t="shared" si="42"/>
        <v>4065.7999999999993</v>
      </c>
    </row>
    <row r="174" spans="2:27">
      <c r="B174">
        <v>179</v>
      </c>
      <c r="C174" s="1459">
        <v>45291</v>
      </c>
      <c r="D174" s="1070"/>
      <c r="E174" s="1070"/>
      <c r="F174" s="1295"/>
      <c r="G174" s="1295"/>
      <c r="H174" s="1295"/>
      <c r="I174" s="1295"/>
      <c r="J174" s="1295">
        <v>70.06</v>
      </c>
      <c r="K174" s="1295"/>
      <c r="L174" s="463">
        <f t="shared" si="30"/>
        <v>70.06</v>
      </c>
      <c r="M174" s="78">
        <v>58</v>
      </c>
      <c r="N174" s="78"/>
      <c r="O174" s="78">
        <f t="shared" si="41"/>
        <v>4063.48</v>
      </c>
      <c r="P174" s="1070">
        <f t="shared" si="31"/>
        <v>0</v>
      </c>
      <c r="Q174" s="1070">
        <f t="shared" si="32"/>
        <v>0</v>
      </c>
      <c r="R174" s="1070">
        <f t="shared" si="33"/>
        <v>0</v>
      </c>
      <c r="S174" s="1070">
        <f t="shared" si="34"/>
        <v>0</v>
      </c>
      <c r="T174" s="1070">
        <f t="shared" si="35"/>
        <v>0</v>
      </c>
      <c r="U174" s="1070">
        <f t="shared" si="36"/>
        <v>0</v>
      </c>
      <c r="V174" s="1070">
        <f t="shared" si="37"/>
        <v>50.042857142857144</v>
      </c>
      <c r="W174" s="1070">
        <f t="shared" si="38"/>
        <v>0</v>
      </c>
      <c r="X174" s="463">
        <f t="shared" si="39"/>
        <v>50.042857142857144</v>
      </c>
      <c r="Y174" s="78">
        <f t="shared" si="40"/>
        <v>81.199999999999989</v>
      </c>
      <c r="Z174" s="78"/>
      <c r="AA174" s="78">
        <f t="shared" si="42"/>
        <v>4063.4799999999996</v>
      </c>
    </row>
    <row r="175" spans="2:27">
      <c r="B175">
        <v>180</v>
      </c>
      <c r="C175" s="1459">
        <v>45291</v>
      </c>
      <c r="D175" s="1070"/>
      <c r="E175" s="1070"/>
      <c r="F175" s="1295"/>
      <c r="G175" s="1295"/>
      <c r="H175" s="1295"/>
      <c r="I175" s="1295"/>
      <c r="J175" s="1295">
        <v>70.28</v>
      </c>
      <c r="K175" s="1295"/>
      <c r="L175" s="463">
        <f t="shared" si="30"/>
        <v>70.28</v>
      </c>
      <c r="M175" s="78">
        <v>58</v>
      </c>
      <c r="N175" s="78"/>
      <c r="O175" s="78">
        <f t="shared" si="41"/>
        <v>4076.2400000000002</v>
      </c>
      <c r="P175" s="1070">
        <f t="shared" si="31"/>
        <v>0</v>
      </c>
      <c r="Q175" s="1070">
        <f t="shared" si="32"/>
        <v>0</v>
      </c>
      <c r="R175" s="1070">
        <f t="shared" si="33"/>
        <v>0</v>
      </c>
      <c r="S175" s="1070">
        <f t="shared" si="34"/>
        <v>0</v>
      </c>
      <c r="T175" s="1070">
        <f t="shared" si="35"/>
        <v>0</v>
      </c>
      <c r="U175" s="1070">
        <f t="shared" si="36"/>
        <v>0</v>
      </c>
      <c r="V175" s="1070">
        <f t="shared" si="37"/>
        <v>50.2</v>
      </c>
      <c r="W175" s="1070">
        <f t="shared" si="38"/>
        <v>0</v>
      </c>
      <c r="X175" s="463">
        <f t="shared" si="39"/>
        <v>50.2</v>
      </c>
      <c r="Y175" s="78">
        <f t="shared" si="40"/>
        <v>81.199999999999989</v>
      </c>
      <c r="Z175" s="78"/>
      <c r="AA175" s="78">
        <f t="shared" si="42"/>
        <v>4076.24</v>
      </c>
    </row>
    <row r="176" spans="2:27">
      <c r="B176">
        <v>181</v>
      </c>
      <c r="C176" s="1459">
        <v>45291</v>
      </c>
      <c r="D176" s="1070"/>
      <c r="E176" s="1070"/>
      <c r="F176" s="1295"/>
      <c r="G176" s="1295"/>
      <c r="H176" s="1295"/>
      <c r="I176" s="1295"/>
      <c r="J176" s="1295">
        <v>69.52</v>
      </c>
      <c r="K176" s="1295"/>
      <c r="L176" s="463">
        <f t="shared" si="30"/>
        <v>69.52</v>
      </c>
      <c r="M176" s="78">
        <v>58</v>
      </c>
      <c r="N176" s="78"/>
      <c r="O176" s="78">
        <f t="shared" si="41"/>
        <v>4032.16</v>
      </c>
      <c r="P176" s="1070">
        <f t="shared" si="31"/>
        <v>0</v>
      </c>
      <c r="Q176" s="1070">
        <f t="shared" si="32"/>
        <v>0</v>
      </c>
      <c r="R176" s="1070">
        <f t="shared" si="33"/>
        <v>0</v>
      </c>
      <c r="S176" s="1070">
        <f t="shared" si="34"/>
        <v>0</v>
      </c>
      <c r="T176" s="1070">
        <f t="shared" si="35"/>
        <v>0</v>
      </c>
      <c r="U176" s="1070">
        <f t="shared" si="36"/>
        <v>0</v>
      </c>
      <c r="V176" s="1070">
        <f t="shared" si="37"/>
        <v>49.657142857142858</v>
      </c>
      <c r="W176" s="1070">
        <f t="shared" si="38"/>
        <v>0</v>
      </c>
      <c r="X176" s="463">
        <f t="shared" si="39"/>
        <v>49.657142857142858</v>
      </c>
      <c r="Y176" s="78">
        <f t="shared" si="40"/>
        <v>81.199999999999989</v>
      </c>
      <c r="Z176" s="78"/>
      <c r="AA176" s="78">
        <f t="shared" si="42"/>
        <v>4032.1599999999994</v>
      </c>
    </row>
    <row r="177" spans="2:27">
      <c r="B177">
        <v>182</v>
      </c>
      <c r="C177" s="1459">
        <v>45291</v>
      </c>
      <c r="D177" s="1070"/>
      <c r="E177" s="1070"/>
      <c r="F177" s="1295"/>
      <c r="G177" s="1295"/>
      <c r="H177" s="1295"/>
      <c r="I177" s="1295"/>
      <c r="J177" s="1295">
        <v>70.319999999999993</v>
      </c>
      <c r="K177" s="1295"/>
      <c r="L177" s="463">
        <f t="shared" si="30"/>
        <v>70.319999999999993</v>
      </c>
      <c r="M177" s="78">
        <v>58</v>
      </c>
      <c r="N177" s="78"/>
      <c r="O177" s="78">
        <f t="shared" si="41"/>
        <v>4078.5599999999995</v>
      </c>
      <c r="P177" s="1070">
        <f t="shared" si="31"/>
        <v>0</v>
      </c>
      <c r="Q177" s="1070">
        <f t="shared" si="32"/>
        <v>0</v>
      </c>
      <c r="R177" s="1070">
        <f t="shared" si="33"/>
        <v>0</v>
      </c>
      <c r="S177" s="1070">
        <f t="shared" si="34"/>
        <v>0</v>
      </c>
      <c r="T177" s="1070">
        <f t="shared" si="35"/>
        <v>0</v>
      </c>
      <c r="U177" s="1070">
        <f t="shared" si="36"/>
        <v>0</v>
      </c>
      <c r="V177" s="1070">
        <f t="shared" si="37"/>
        <v>50.228571428571428</v>
      </c>
      <c r="W177" s="1070">
        <f t="shared" si="38"/>
        <v>0</v>
      </c>
      <c r="X177" s="463">
        <f t="shared" si="39"/>
        <v>50.228571428571428</v>
      </c>
      <c r="Y177" s="78">
        <f t="shared" si="40"/>
        <v>81.199999999999989</v>
      </c>
      <c r="Z177" s="78"/>
      <c r="AA177" s="78">
        <f t="shared" si="42"/>
        <v>4078.5599999999995</v>
      </c>
    </row>
    <row r="178" spans="2:27">
      <c r="B178">
        <v>183</v>
      </c>
      <c r="C178" s="1459">
        <v>45291</v>
      </c>
      <c r="D178" s="1070"/>
      <c r="E178" s="1070"/>
      <c r="F178" s="1295"/>
      <c r="G178" s="1295"/>
      <c r="H178" s="1295"/>
      <c r="I178" s="1295"/>
      <c r="J178" s="1295">
        <v>67.2</v>
      </c>
      <c r="K178" s="1295"/>
      <c r="L178" s="463">
        <f t="shared" si="30"/>
        <v>67.2</v>
      </c>
      <c r="M178" s="78">
        <v>58</v>
      </c>
      <c r="N178" s="78"/>
      <c r="O178" s="78">
        <f t="shared" si="41"/>
        <v>3897.6000000000004</v>
      </c>
      <c r="P178" s="1070">
        <f t="shared" si="31"/>
        <v>0</v>
      </c>
      <c r="Q178" s="1070">
        <f t="shared" si="32"/>
        <v>0</v>
      </c>
      <c r="R178" s="1070">
        <f t="shared" si="33"/>
        <v>0</v>
      </c>
      <c r="S178" s="1070">
        <f t="shared" si="34"/>
        <v>0</v>
      </c>
      <c r="T178" s="1070">
        <f t="shared" si="35"/>
        <v>0</v>
      </c>
      <c r="U178" s="1070">
        <f t="shared" si="36"/>
        <v>0</v>
      </c>
      <c r="V178" s="1070">
        <f t="shared" si="37"/>
        <v>48.000000000000007</v>
      </c>
      <c r="W178" s="1070">
        <f t="shared" si="38"/>
        <v>0</v>
      </c>
      <c r="X178" s="463">
        <f t="shared" si="39"/>
        <v>48.000000000000007</v>
      </c>
      <c r="Y178" s="78">
        <f t="shared" si="40"/>
        <v>81.199999999999989</v>
      </c>
      <c r="Z178" s="78"/>
      <c r="AA178" s="78">
        <f t="shared" si="42"/>
        <v>3897.6</v>
      </c>
    </row>
    <row r="179" spans="2:27">
      <c r="B179">
        <v>184</v>
      </c>
      <c r="C179" s="1459">
        <v>45291</v>
      </c>
      <c r="D179" s="1070"/>
      <c r="E179" s="1070"/>
      <c r="F179" s="1295"/>
      <c r="G179" s="1295"/>
      <c r="H179" s="1295"/>
      <c r="I179" s="1295"/>
      <c r="J179" s="1295">
        <v>67.38</v>
      </c>
      <c r="K179" s="1295"/>
      <c r="L179" s="463">
        <f t="shared" si="30"/>
        <v>67.38</v>
      </c>
      <c r="M179" s="78">
        <v>58</v>
      </c>
      <c r="N179" s="78"/>
      <c r="O179" s="78">
        <f t="shared" si="41"/>
        <v>3908.04</v>
      </c>
      <c r="P179" s="1070">
        <f t="shared" si="31"/>
        <v>0</v>
      </c>
      <c r="Q179" s="1070">
        <f t="shared" si="32"/>
        <v>0</v>
      </c>
      <c r="R179" s="1070">
        <f t="shared" si="33"/>
        <v>0</v>
      </c>
      <c r="S179" s="1070">
        <f t="shared" si="34"/>
        <v>0</v>
      </c>
      <c r="T179" s="1070">
        <f t="shared" si="35"/>
        <v>0</v>
      </c>
      <c r="U179" s="1070">
        <f t="shared" si="36"/>
        <v>0</v>
      </c>
      <c r="V179" s="1070">
        <f t="shared" si="37"/>
        <v>48.128571428571426</v>
      </c>
      <c r="W179" s="1070">
        <f t="shared" si="38"/>
        <v>0</v>
      </c>
      <c r="X179" s="463">
        <f t="shared" si="39"/>
        <v>48.128571428571426</v>
      </c>
      <c r="Y179" s="78">
        <f t="shared" si="40"/>
        <v>81.199999999999989</v>
      </c>
      <c r="Z179" s="78"/>
      <c r="AA179" s="78">
        <f t="shared" si="42"/>
        <v>3908.0399999999991</v>
      </c>
    </row>
    <row r="180" spans="2:27">
      <c r="B180">
        <v>185</v>
      </c>
      <c r="C180" s="1459">
        <v>45291</v>
      </c>
      <c r="D180" s="1070"/>
      <c r="E180" s="1070"/>
      <c r="F180" s="1295"/>
      <c r="G180" s="1295"/>
      <c r="H180" s="1295"/>
      <c r="I180" s="1295"/>
      <c r="J180" s="1295">
        <v>70</v>
      </c>
      <c r="K180" s="1295"/>
      <c r="L180" s="463">
        <f t="shared" si="30"/>
        <v>70</v>
      </c>
      <c r="M180" s="78">
        <v>58</v>
      </c>
      <c r="N180" s="78"/>
      <c r="O180" s="78">
        <f t="shared" si="41"/>
        <v>4060</v>
      </c>
      <c r="P180" s="1070">
        <f t="shared" si="31"/>
        <v>0</v>
      </c>
      <c r="Q180" s="1070">
        <f t="shared" si="32"/>
        <v>0</v>
      </c>
      <c r="R180" s="1070">
        <f t="shared" si="33"/>
        <v>0</v>
      </c>
      <c r="S180" s="1070">
        <f t="shared" si="34"/>
        <v>0</v>
      </c>
      <c r="T180" s="1070">
        <f t="shared" si="35"/>
        <v>0</v>
      </c>
      <c r="U180" s="1070">
        <f t="shared" si="36"/>
        <v>0</v>
      </c>
      <c r="V180" s="1070">
        <f t="shared" si="37"/>
        <v>50</v>
      </c>
      <c r="W180" s="1070">
        <f t="shared" si="38"/>
        <v>0</v>
      </c>
      <c r="X180" s="463">
        <f t="shared" si="39"/>
        <v>50</v>
      </c>
      <c r="Y180" s="78">
        <f t="shared" si="40"/>
        <v>81.199999999999989</v>
      </c>
      <c r="Z180" s="78"/>
      <c r="AA180" s="78">
        <f t="shared" si="42"/>
        <v>4059.9999999999995</v>
      </c>
    </row>
    <row r="181" spans="2:27">
      <c r="B181">
        <v>186</v>
      </c>
      <c r="C181" s="1459">
        <v>45291</v>
      </c>
      <c r="D181" s="1070"/>
      <c r="E181" s="1070"/>
      <c r="F181" s="1295"/>
      <c r="G181" s="1295"/>
      <c r="H181" s="1295"/>
      <c r="I181" s="1295"/>
      <c r="J181" s="1295">
        <v>69.459999999999994</v>
      </c>
      <c r="K181" s="1295"/>
      <c r="L181" s="463">
        <f t="shared" si="30"/>
        <v>69.459999999999994</v>
      </c>
      <c r="M181" s="78">
        <v>58</v>
      </c>
      <c r="N181" s="78"/>
      <c r="O181" s="78">
        <f t="shared" si="41"/>
        <v>4028.68</v>
      </c>
      <c r="P181" s="1070">
        <f t="shared" si="31"/>
        <v>0</v>
      </c>
      <c r="Q181" s="1070">
        <f t="shared" si="32"/>
        <v>0</v>
      </c>
      <c r="R181" s="1070">
        <f t="shared" si="33"/>
        <v>0</v>
      </c>
      <c r="S181" s="1070">
        <f t="shared" si="34"/>
        <v>0</v>
      </c>
      <c r="T181" s="1070">
        <f t="shared" si="35"/>
        <v>0</v>
      </c>
      <c r="U181" s="1070">
        <f t="shared" si="36"/>
        <v>0</v>
      </c>
      <c r="V181" s="1070">
        <f t="shared" si="37"/>
        <v>49.614285714285714</v>
      </c>
      <c r="W181" s="1070">
        <f t="shared" si="38"/>
        <v>0</v>
      </c>
      <c r="X181" s="463">
        <f t="shared" si="39"/>
        <v>49.614285714285714</v>
      </c>
      <c r="Y181" s="78">
        <f t="shared" si="40"/>
        <v>81.199999999999989</v>
      </c>
      <c r="Z181" s="78"/>
      <c r="AA181" s="78">
        <f t="shared" si="42"/>
        <v>4028.6799999999994</v>
      </c>
    </row>
    <row r="182" spans="2:27">
      <c r="B182">
        <v>187</v>
      </c>
      <c r="C182" s="1459">
        <v>45291</v>
      </c>
      <c r="D182" s="1070"/>
      <c r="E182" s="1070"/>
      <c r="F182" s="1295"/>
      <c r="G182" s="1295"/>
      <c r="H182" s="1295"/>
      <c r="I182" s="1295"/>
      <c r="J182" s="1295">
        <v>73.34</v>
      </c>
      <c r="K182" s="1295"/>
      <c r="L182" s="463">
        <f t="shared" si="30"/>
        <v>73.34</v>
      </c>
      <c r="M182" s="78">
        <v>58</v>
      </c>
      <c r="N182" s="78"/>
      <c r="O182" s="78">
        <f t="shared" si="41"/>
        <v>4253.72</v>
      </c>
      <c r="P182" s="1070">
        <f t="shared" si="31"/>
        <v>0</v>
      </c>
      <c r="Q182" s="1070">
        <f t="shared" si="32"/>
        <v>0</v>
      </c>
      <c r="R182" s="1070">
        <f t="shared" si="33"/>
        <v>0</v>
      </c>
      <c r="S182" s="1070">
        <f t="shared" si="34"/>
        <v>0</v>
      </c>
      <c r="T182" s="1070">
        <f t="shared" si="35"/>
        <v>0</v>
      </c>
      <c r="U182" s="1070">
        <f t="shared" si="36"/>
        <v>0</v>
      </c>
      <c r="V182" s="1070">
        <f t="shared" si="37"/>
        <v>52.385714285714293</v>
      </c>
      <c r="W182" s="1070">
        <f t="shared" si="38"/>
        <v>0</v>
      </c>
      <c r="X182" s="463">
        <f t="shared" si="39"/>
        <v>52.385714285714293</v>
      </c>
      <c r="Y182" s="78">
        <f t="shared" si="40"/>
        <v>81.199999999999989</v>
      </c>
      <c r="Z182" s="78"/>
      <c r="AA182" s="78">
        <f t="shared" si="42"/>
        <v>4253.72</v>
      </c>
    </row>
    <row r="183" spans="2:27">
      <c r="B183">
        <v>188</v>
      </c>
      <c r="C183" s="1459">
        <v>45291</v>
      </c>
      <c r="D183" s="1070"/>
      <c r="E183" s="1070"/>
      <c r="F183" s="1295"/>
      <c r="G183" s="1295"/>
      <c r="H183" s="1295"/>
      <c r="I183" s="1295"/>
      <c r="J183" s="1295">
        <v>71.66</v>
      </c>
      <c r="K183" s="1295"/>
      <c r="L183" s="463">
        <f t="shared" si="30"/>
        <v>71.66</v>
      </c>
      <c r="M183" s="78">
        <v>58</v>
      </c>
      <c r="N183" s="78"/>
      <c r="O183" s="78">
        <f t="shared" si="41"/>
        <v>4156.28</v>
      </c>
      <c r="P183" s="1070">
        <f t="shared" si="31"/>
        <v>0</v>
      </c>
      <c r="Q183" s="1070">
        <f t="shared" si="32"/>
        <v>0</v>
      </c>
      <c r="R183" s="1070">
        <f t="shared" si="33"/>
        <v>0</v>
      </c>
      <c r="S183" s="1070">
        <f t="shared" si="34"/>
        <v>0</v>
      </c>
      <c r="T183" s="1070">
        <f t="shared" si="35"/>
        <v>0</v>
      </c>
      <c r="U183" s="1070">
        <f t="shared" si="36"/>
        <v>0</v>
      </c>
      <c r="V183" s="1070">
        <f t="shared" si="37"/>
        <v>51.185714285714283</v>
      </c>
      <c r="W183" s="1070">
        <f t="shared" si="38"/>
        <v>0</v>
      </c>
      <c r="X183" s="463">
        <f t="shared" si="39"/>
        <v>51.185714285714283</v>
      </c>
      <c r="Y183" s="78">
        <f t="shared" si="40"/>
        <v>81.199999999999989</v>
      </c>
      <c r="Z183" s="78"/>
      <c r="AA183" s="78">
        <f t="shared" si="42"/>
        <v>4156.2799999999988</v>
      </c>
    </row>
    <row r="184" spans="2:27">
      <c r="B184">
        <v>189</v>
      </c>
      <c r="C184" s="1459">
        <v>45291</v>
      </c>
      <c r="D184" s="1070"/>
      <c r="E184" s="1070"/>
      <c r="F184" s="1295"/>
      <c r="G184" s="1295"/>
      <c r="H184" s="1295"/>
      <c r="I184" s="1295"/>
      <c r="J184" s="1295">
        <v>74.8</v>
      </c>
      <c r="K184" s="1295"/>
      <c r="L184" s="463">
        <f t="shared" si="30"/>
        <v>74.8</v>
      </c>
      <c r="M184" s="78">
        <v>58</v>
      </c>
      <c r="N184" s="78"/>
      <c r="O184" s="78">
        <f t="shared" si="41"/>
        <v>4338.3999999999996</v>
      </c>
      <c r="P184" s="1070">
        <f t="shared" si="31"/>
        <v>0</v>
      </c>
      <c r="Q184" s="1070">
        <f t="shared" si="32"/>
        <v>0</v>
      </c>
      <c r="R184" s="1070">
        <f t="shared" si="33"/>
        <v>0</v>
      </c>
      <c r="S184" s="1070">
        <f t="shared" si="34"/>
        <v>0</v>
      </c>
      <c r="T184" s="1070">
        <f t="shared" si="35"/>
        <v>0</v>
      </c>
      <c r="U184" s="1070">
        <f t="shared" si="36"/>
        <v>0</v>
      </c>
      <c r="V184" s="1070">
        <f t="shared" si="37"/>
        <v>53.428571428571431</v>
      </c>
      <c r="W184" s="1070">
        <f t="shared" si="38"/>
        <v>0</v>
      </c>
      <c r="X184" s="463">
        <f t="shared" si="39"/>
        <v>53.428571428571431</v>
      </c>
      <c r="Y184" s="78">
        <f t="shared" si="40"/>
        <v>81.199999999999989</v>
      </c>
      <c r="Z184" s="78"/>
      <c r="AA184" s="78">
        <f t="shared" si="42"/>
        <v>4338.3999999999996</v>
      </c>
    </row>
    <row r="185" spans="2:27">
      <c r="B185">
        <v>190</v>
      </c>
      <c r="C185" s="1459">
        <v>45291</v>
      </c>
      <c r="D185" s="1070"/>
      <c r="E185" s="1070"/>
      <c r="F185" s="1295"/>
      <c r="G185" s="1295"/>
      <c r="H185" s="1295"/>
      <c r="I185" s="1295"/>
      <c r="J185" s="1295">
        <v>69.599999999999994</v>
      </c>
      <c r="K185" s="1295"/>
      <c r="L185" s="463">
        <f t="shared" si="30"/>
        <v>69.599999999999994</v>
      </c>
      <c r="M185" s="78">
        <v>58</v>
      </c>
      <c r="N185" s="78"/>
      <c r="O185" s="78">
        <f t="shared" si="41"/>
        <v>4036.7999999999997</v>
      </c>
      <c r="P185" s="1070">
        <f t="shared" si="31"/>
        <v>0</v>
      </c>
      <c r="Q185" s="1070">
        <f t="shared" si="32"/>
        <v>0</v>
      </c>
      <c r="R185" s="1070">
        <f t="shared" si="33"/>
        <v>0</v>
      </c>
      <c r="S185" s="1070">
        <f t="shared" si="34"/>
        <v>0</v>
      </c>
      <c r="T185" s="1070">
        <f t="shared" si="35"/>
        <v>0</v>
      </c>
      <c r="U185" s="1070">
        <f t="shared" si="36"/>
        <v>0</v>
      </c>
      <c r="V185" s="1070">
        <f t="shared" si="37"/>
        <v>49.714285714285715</v>
      </c>
      <c r="W185" s="1070">
        <f t="shared" si="38"/>
        <v>0</v>
      </c>
      <c r="X185" s="463">
        <f t="shared" si="39"/>
        <v>49.714285714285715</v>
      </c>
      <c r="Y185" s="78">
        <f t="shared" si="40"/>
        <v>81.199999999999989</v>
      </c>
      <c r="Z185" s="78"/>
      <c r="AA185" s="78">
        <f t="shared" si="42"/>
        <v>4036.7999999999997</v>
      </c>
    </row>
    <row r="186" spans="2:27">
      <c r="B186">
        <v>191</v>
      </c>
      <c r="C186" s="1459">
        <v>45291</v>
      </c>
      <c r="D186" s="1070"/>
      <c r="E186" s="1070"/>
      <c r="F186" s="1295"/>
      <c r="G186" s="1295"/>
      <c r="H186" s="1295"/>
      <c r="I186" s="1295"/>
      <c r="J186" s="1295">
        <v>69.819999999999993</v>
      </c>
      <c r="K186" s="1295"/>
      <c r="L186" s="463">
        <f t="shared" si="30"/>
        <v>69.819999999999993</v>
      </c>
      <c r="M186" s="78">
        <v>58</v>
      </c>
      <c r="N186" s="78"/>
      <c r="O186" s="78">
        <f t="shared" si="41"/>
        <v>4049.5599999999995</v>
      </c>
      <c r="P186" s="1070">
        <f t="shared" si="31"/>
        <v>0</v>
      </c>
      <c r="Q186" s="1070">
        <f t="shared" si="32"/>
        <v>0</v>
      </c>
      <c r="R186" s="1070">
        <f t="shared" si="33"/>
        <v>0</v>
      </c>
      <c r="S186" s="1070">
        <f t="shared" si="34"/>
        <v>0</v>
      </c>
      <c r="T186" s="1070">
        <f t="shared" si="35"/>
        <v>0</v>
      </c>
      <c r="U186" s="1070">
        <f t="shared" si="36"/>
        <v>0</v>
      </c>
      <c r="V186" s="1070">
        <f t="shared" si="37"/>
        <v>49.871428571428567</v>
      </c>
      <c r="W186" s="1070">
        <f t="shared" si="38"/>
        <v>0</v>
      </c>
      <c r="X186" s="463">
        <f t="shared" si="39"/>
        <v>49.871428571428567</v>
      </c>
      <c r="Y186" s="78">
        <f t="shared" si="40"/>
        <v>81.199999999999989</v>
      </c>
      <c r="Z186" s="78"/>
      <c r="AA186" s="78">
        <f t="shared" si="42"/>
        <v>4049.559999999999</v>
      </c>
    </row>
    <row r="187" spans="2:27">
      <c r="B187">
        <v>192</v>
      </c>
      <c r="C187" s="1459">
        <v>45291</v>
      </c>
      <c r="D187" s="1070"/>
      <c r="E187" s="1070"/>
      <c r="F187" s="1295"/>
      <c r="G187" s="1295"/>
      <c r="H187" s="1295"/>
      <c r="I187" s="1295"/>
      <c r="J187" s="1295">
        <v>70.62</v>
      </c>
      <c r="K187" s="1295"/>
      <c r="L187" s="463">
        <f t="shared" si="30"/>
        <v>70.62</v>
      </c>
      <c r="M187" s="78">
        <v>58</v>
      </c>
      <c r="N187" s="78"/>
      <c r="O187" s="78">
        <f t="shared" si="41"/>
        <v>4095.96</v>
      </c>
      <c r="P187" s="1070">
        <f t="shared" si="31"/>
        <v>0</v>
      </c>
      <c r="Q187" s="1070">
        <f t="shared" si="32"/>
        <v>0</v>
      </c>
      <c r="R187" s="1070">
        <f t="shared" si="33"/>
        <v>0</v>
      </c>
      <c r="S187" s="1070">
        <f t="shared" si="34"/>
        <v>0</v>
      </c>
      <c r="T187" s="1070">
        <f t="shared" si="35"/>
        <v>0</v>
      </c>
      <c r="U187" s="1070">
        <f t="shared" si="36"/>
        <v>0</v>
      </c>
      <c r="V187" s="1070">
        <f t="shared" si="37"/>
        <v>50.44285714285715</v>
      </c>
      <c r="W187" s="1070">
        <f t="shared" si="38"/>
        <v>0</v>
      </c>
      <c r="X187" s="463">
        <f t="shared" si="39"/>
        <v>50.44285714285715</v>
      </c>
      <c r="Y187" s="78">
        <f t="shared" si="40"/>
        <v>81.199999999999989</v>
      </c>
      <c r="Z187" s="78"/>
      <c r="AA187" s="78">
        <f t="shared" si="42"/>
        <v>4095.96</v>
      </c>
    </row>
    <row r="188" spans="2:27">
      <c r="B188">
        <v>193</v>
      </c>
      <c r="C188" s="1459">
        <v>45291</v>
      </c>
      <c r="D188" s="1070"/>
      <c r="E188" s="1070"/>
      <c r="F188" s="1295"/>
      <c r="G188" s="1295"/>
      <c r="H188" s="1295"/>
      <c r="I188" s="1295"/>
      <c r="J188" s="1295">
        <v>69.72</v>
      </c>
      <c r="K188" s="1295"/>
      <c r="L188" s="463">
        <f t="shared" si="30"/>
        <v>69.72</v>
      </c>
      <c r="M188" s="78">
        <v>58</v>
      </c>
      <c r="N188" s="78"/>
      <c r="O188" s="78">
        <f t="shared" si="41"/>
        <v>4043.7599999999998</v>
      </c>
      <c r="P188" s="1070">
        <f t="shared" si="31"/>
        <v>0</v>
      </c>
      <c r="Q188" s="1070">
        <f t="shared" si="32"/>
        <v>0</v>
      </c>
      <c r="R188" s="1070">
        <f t="shared" si="33"/>
        <v>0</v>
      </c>
      <c r="S188" s="1070">
        <f t="shared" si="34"/>
        <v>0</v>
      </c>
      <c r="T188" s="1070">
        <f t="shared" si="35"/>
        <v>0</v>
      </c>
      <c r="U188" s="1070">
        <f t="shared" si="36"/>
        <v>0</v>
      </c>
      <c r="V188" s="1070">
        <f t="shared" si="37"/>
        <v>49.800000000000004</v>
      </c>
      <c r="W188" s="1070">
        <f t="shared" si="38"/>
        <v>0</v>
      </c>
      <c r="X188" s="463">
        <f t="shared" si="39"/>
        <v>49.800000000000004</v>
      </c>
      <c r="Y188" s="78">
        <f t="shared" si="40"/>
        <v>81.199999999999989</v>
      </c>
      <c r="Z188" s="78"/>
      <c r="AA188" s="78">
        <f t="shared" si="42"/>
        <v>4043.7599999999998</v>
      </c>
    </row>
    <row r="189" spans="2:27">
      <c r="B189">
        <v>194</v>
      </c>
      <c r="C189" s="1459">
        <v>45291</v>
      </c>
      <c r="D189" s="1070"/>
      <c r="E189" s="1070"/>
      <c r="F189" s="1295"/>
      <c r="G189" s="1295"/>
      <c r="H189" s="1295"/>
      <c r="I189" s="1295"/>
      <c r="J189" s="1295">
        <v>69.900000000000006</v>
      </c>
      <c r="K189" s="1295"/>
      <c r="L189" s="463">
        <f t="shared" si="30"/>
        <v>69.900000000000006</v>
      </c>
      <c r="M189" s="78">
        <v>58</v>
      </c>
      <c r="N189" s="78"/>
      <c r="O189" s="78">
        <f t="shared" si="41"/>
        <v>4054.2000000000003</v>
      </c>
      <c r="P189" s="1070">
        <f t="shared" si="31"/>
        <v>0</v>
      </c>
      <c r="Q189" s="1070">
        <f t="shared" si="32"/>
        <v>0</v>
      </c>
      <c r="R189" s="1070">
        <f t="shared" si="33"/>
        <v>0</v>
      </c>
      <c r="S189" s="1070">
        <f t="shared" si="34"/>
        <v>0</v>
      </c>
      <c r="T189" s="1070">
        <f t="shared" si="35"/>
        <v>0</v>
      </c>
      <c r="U189" s="1070">
        <f t="shared" si="36"/>
        <v>0</v>
      </c>
      <c r="V189" s="1070">
        <f t="shared" si="37"/>
        <v>49.928571428571438</v>
      </c>
      <c r="W189" s="1070">
        <f t="shared" si="38"/>
        <v>0</v>
      </c>
      <c r="X189" s="463">
        <f t="shared" si="39"/>
        <v>49.928571428571438</v>
      </c>
      <c r="Y189" s="78">
        <f t="shared" si="40"/>
        <v>81.199999999999989</v>
      </c>
      <c r="Z189" s="78"/>
      <c r="AA189" s="78">
        <f t="shared" si="42"/>
        <v>4054.2000000000003</v>
      </c>
    </row>
    <row r="190" spans="2:27">
      <c r="B190">
        <v>195</v>
      </c>
      <c r="C190" s="1459">
        <v>45291</v>
      </c>
      <c r="D190" s="1070"/>
      <c r="E190" s="1070"/>
      <c r="F190" s="1295"/>
      <c r="G190" s="1295"/>
      <c r="H190" s="1295"/>
      <c r="I190" s="1295"/>
      <c r="J190" s="1295">
        <v>75.239999999999995</v>
      </c>
      <c r="K190" s="1295"/>
      <c r="L190" s="463">
        <f t="shared" si="30"/>
        <v>75.239999999999995</v>
      </c>
      <c r="M190" s="78">
        <v>58</v>
      </c>
      <c r="N190" s="78"/>
      <c r="O190" s="78">
        <f t="shared" si="41"/>
        <v>4363.92</v>
      </c>
      <c r="P190" s="1070">
        <f t="shared" si="31"/>
        <v>0</v>
      </c>
      <c r="Q190" s="1070">
        <f t="shared" si="32"/>
        <v>0</v>
      </c>
      <c r="R190" s="1070">
        <f t="shared" si="33"/>
        <v>0</v>
      </c>
      <c r="S190" s="1070">
        <f t="shared" si="34"/>
        <v>0</v>
      </c>
      <c r="T190" s="1070">
        <f t="shared" si="35"/>
        <v>0</v>
      </c>
      <c r="U190" s="1070">
        <f t="shared" si="36"/>
        <v>0</v>
      </c>
      <c r="V190" s="1070">
        <f t="shared" si="37"/>
        <v>53.74285714285714</v>
      </c>
      <c r="W190" s="1070">
        <f t="shared" si="38"/>
        <v>0</v>
      </c>
      <c r="X190" s="463">
        <f t="shared" si="39"/>
        <v>53.74285714285714</v>
      </c>
      <c r="Y190" s="78">
        <f t="shared" si="40"/>
        <v>81.199999999999989</v>
      </c>
      <c r="Z190" s="78"/>
      <c r="AA190" s="78">
        <f t="shared" si="42"/>
        <v>4363.9199999999992</v>
      </c>
    </row>
    <row r="191" spans="2:27">
      <c r="B191">
        <v>196</v>
      </c>
      <c r="C191" s="1459">
        <v>45291</v>
      </c>
      <c r="D191" s="1070"/>
      <c r="E191" s="1070"/>
      <c r="F191" s="1295"/>
      <c r="G191" s="1295"/>
      <c r="H191" s="1295"/>
      <c r="I191" s="1295"/>
      <c r="J191" s="1295">
        <v>72.760000000000005</v>
      </c>
      <c r="K191" s="1295"/>
      <c r="L191" s="463">
        <f t="shared" si="30"/>
        <v>72.760000000000005</v>
      </c>
      <c r="M191" s="78">
        <v>58</v>
      </c>
      <c r="N191" s="78"/>
      <c r="O191" s="78">
        <f t="shared" si="41"/>
        <v>4220.08</v>
      </c>
      <c r="P191" s="1070">
        <f t="shared" si="31"/>
        <v>0</v>
      </c>
      <c r="Q191" s="1070">
        <f t="shared" si="32"/>
        <v>0</v>
      </c>
      <c r="R191" s="1070">
        <f t="shared" si="33"/>
        <v>0</v>
      </c>
      <c r="S191" s="1070">
        <f t="shared" si="34"/>
        <v>0</v>
      </c>
      <c r="T191" s="1070">
        <f t="shared" si="35"/>
        <v>0</v>
      </c>
      <c r="U191" s="1070">
        <f t="shared" si="36"/>
        <v>0</v>
      </c>
      <c r="V191" s="1070">
        <f t="shared" si="37"/>
        <v>51.971428571428575</v>
      </c>
      <c r="W191" s="1070">
        <f t="shared" si="38"/>
        <v>0</v>
      </c>
      <c r="X191" s="463">
        <f t="shared" si="39"/>
        <v>51.971428571428575</v>
      </c>
      <c r="Y191" s="78">
        <f t="shared" si="40"/>
        <v>81.199999999999989</v>
      </c>
      <c r="Z191" s="78"/>
      <c r="AA191" s="78">
        <f t="shared" si="42"/>
        <v>4220.08</v>
      </c>
    </row>
    <row r="192" spans="2:27">
      <c r="B192">
        <v>197</v>
      </c>
      <c r="C192" s="1459">
        <v>45291</v>
      </c>
      <c r="D192" s="1070"/>
      <c r="E192" s="1070"/>
      <c r="F192" s="1295"/>
      <c r="G192" s="1295"/>
      <c r="H192" s="1295"/>
      <c r="I192" s="1295"/>
      <c r="J192" s="1295">
        <v>73.28</v>
      </c>
      <c r="K192" s="1295"/>
      <c r="L192" s="463">
        <f t="shared" si="30"/>
        <v>73.28</v>
      </c>
      <c r="M192" s="78">
        <v>58</v>
      </c>
      <c r="N192" s="78"/>
      <c r="O192" s="78">
        <f t="shared" si="41"/>
        <v>4250.24</v>
      </c>
      <c r="P192" s="1070">
        <f t="shared" si="31"/>
        <v>0</v>
      </c>
      <c r="Q192" s="1070">
        <f t="shared" si="32"/>
        <v>0</v>
      </c>
      <c r="R192" s="1070">
        <f t="shared" si="33"/>
        <v>0</v>
      </c>
      <c r="S192" s="1070">
        <f t="shared" si="34"/>
        <v>0</v>
      </c>
      <c r="T192" s="1070">
        <f t="shared" si="35"/>
        <v>0</v>
      </c>
      <c r="U192" s="1070">
        <f t="shared" si="36"/>
        <v>0</v>
      </c>
      <c r="V192" s="1070">
        <f t="shared" si="37"/>
        <v>52.342857142857149</v>
      </c>
      <c r="W192" s="1070">
        <f t="shared" si="38"/>
        <v>0</v>
      </c>
      <c r="X192" s="463">
        <f t="shared" si="39"/>
        <v>52.342857142857149</v>
      </c>
      <c r="Y192" s="78">
        <f t="shared" si="40"/>
        <v>81.199999999999989</v>
      </c>
      <c r="Z192" s="78"/>
      <c r="AA192" s="78">
        <f t="shared" si="42"/>
        <v>4250.24</v>
      </c>
    </row>
    <row r="193" spans="2:27">
      <c r="B193">
        <v>198</v>
      </c>
      <c r="C193" s="1459">
        <v>45291</v>
      </c>
      <c r="D193" s="1070"/>
      <c r="E193" s="1070"/>
      <c r="F193" s="1295"/>
      <c r="G193" s="1295"/>
      <c r="H193" s="1295"/>
      <c r="I193" s="1295"/>
      <c r="J193" s="1295">
        <v>69.819999999999993</v>
      </c>
      <c r="K193" s="1295"/>
      <c r="L193" s="463">
        <f t="shared" si="30"/>
        <v>69.819999999999993</v>
      </c>
      <c r="M193" s="78">
        <v>58</v>
      </c>
      <c r="N193" s="78"/>
      <c r="O193" s="78">
        <f t="shared" si="41"/>
        <v>4049.5599999999995</v>
      </c>
      <c r="P193" s="1070">
        <f t="shared" si="31"/>
        <v>0</v>
      </c>
      <c r="Q193" s="1070">
        <f t="shared" si="32"/>
        <v>0</v>
      </c>
      <c r="R193" s="1070">
        <f t="shared" si="33"/>
        <v>0</v>
      </c>
      <c r="S193" s="1070">
        <f t="shared" si="34"/>
        <v>0</v>
      </c>
      <c r="T193" s="1070">
        <f t="shared" si="35"/>
        <v>0</v>
      </c>
      <c r="U193" s="1070">
        <f t="shared" si="36"/>
        <v>0</v>
      </c>
      <c r="V193" s="1070">
        <f t="shared" si="37"/>
        <v>49.871428571428567</v>
      </c>
      <c r="W193" s="1070">
        <f t="shared" si="38"/>
        <v>0</v>
      </c>
      <c r="X193" s="463">
        <f t="shared" si="39"/>
        <v>49.871428571428567</v>
      </c>
      <c r="Y193" s="78">
        <f t="shared" si="40"/>
        <v>81.199999999999989</v>
      </c>
      <c r="Z193" s="78"/>
      <c r="AA193" s="78">
        <f t="shared" si="42"/>
        <v>4049.559999999999</v>
      </c>
    </row>
    <row r="194" spans="2:27">
      <c r="B194">
        <v>199</v>
      </c>
      <c r="C194" s="1459">
        <v>45291</v>
      </c>
      <c r="D194" s="1070"/>
      <c r="E194" s="1070"/>
      <c r="F194" s="1295"/>
      <c r="G194" s="1295"/>
      <c r="H194" s="1295"/>
      <c r="I194" s="1295"/>
      <c r="J194" s="1295">
        <v>70.180000000000007</v>
      </c>
      <c r="K194" s="1295"/>
      <c r="L194" s="463">
        <f t="shared" si="30"/>
        <v>70.180000000000007</v>
      </c>
      <c r="M194" s="78">
        <v>58</v>
      </c>
      <c r="N194" s="78"/>
      <c r="O194" s="78">
        <f t="shared" si="41"/>
        <v>4070.4400000000005</v>
      </c>
      <c r="P194" s="1070">
        <f t="shared" si="31"/>
        <v>0</v>
      </c>
      <c r="Q194" s="1070">
        <f t="shared" si="32"/>
        <v>0</v>
      </c>
      <c r="R194" s="1070">
        <f t="shared" si="33"/>
        <v>0</v>
      </c>
      <c r="S194" s="1070">
        <f t="shared" si="34"/>
        <v>0</v>
      </c>
      <c r="T194" s="1070">
        <f t="shared" si="35"/>
        <v>0</v>
      </c>
      <c r="U194" s="1070">
        <f t="shared" si="36"/>
        <v>0</v>
      </c>
      <c r="V194" s="1070">
        <f t="shared" si="37"/>
        <v>50.128571428571433</v>
      </c>
      <c r="W194" s="1070">
        <f t="shared" si="38"/>
        <v>0</v>
      </c>
      <c r="X194" s="463">
        <f t="shared" si="39"/>
        <v>50.128571428571433</v>
      </c>
      <c r="Y194" s="78">
        <f t="shared" si="40"/>
        <v>81.199999999999989</v>
      </c>
      <c r="Z194" s="78"/>
      <c r="AA194" s="78">
        <f t="shared" si="42"/>
        <v>4070.4399999999996</v>
      </c>
    </row>
    <row r="195" spans="2:27">
      <c r="B195">
        <v>200</v>
      </c>
      <c r="C195" s="1459">
        <v>45291</v>
      </c>
      <c r="D195" s="1070"/>
      <c r="E195" s="1070"/>
      <c r="F195" s="1295"/>
      <c r="G195" s="1295"/>
      <c r="H195" s="1295"/>
      <c r="I195" s="1295"/>
      <c r="J195" s="1295">
        <v>70.260000000000005</v>
      </c>
      <c r="K195" s="1295"/>
      <c r="L195" s="463">
        <f t="shared" si="30"/>
        <v>70.260000000000005</v>
      </c>
      <c r="M195" s="78">
        <v>58</v>
      </c>
      <c r="N195" s="78"/>
      <c r="O195" s="78">
        <f t="shared" si="41"/>
        <v>4075.0800000000004</v>
      </c>
      <c r="P195" s="1070">
        <f t="shared" si="31"/>
        <v>0</v>
      </c>
      <c r="Q195" s="1070">
        <f t="shared" si="32"/>
        <v>0</v>
      </c>
      <c r="R195" s="1070">
        <f t="shared" si="33"/>
        <v>0</v>
      </c>
      <c r="S195" s="1070">
        <f t="shared" si="34"/>
        <v>0</v>
      </c>
      <c r="T195" s="1070">
        <f t="shared" si="35"/>
        <v>0</v>
      </c>
      <c r="U195" s="1070">
        <f t="shared" si="36"/>
        <v>0</v>
      </c>
      <c r="V195" s="1070">
        <f t="shared" si="37"/>
        <v>50.18571428571429</v>
      </c>
      <c r="W195" s="1070">
        <f t="shared" si="38"/>
        <v>0</v>
      </c>
      <c r="X195" s="463">
        <f t="shared" si="39"/>
        <v>50.18571428571429</v>
      </c>
      <c r="Y195" s="78">
        <f t="shared" si="40"/>
        <v>81.199999999999989</v>
      </c>
      <c r="Z195" s="78"/>
      <c r="AA195" s="78">
        <f t="shared" si="42"/>
        <v>4075.08</v>
      </c>
    </row>
    <row r="196" spans="2:27">
      <c r="B196">
        <v>201</v>
      </c>
      <c r="C196" s="1459">
        <v>45291</v>
      </c>
      <c r="D196" s="1070"/>
      <c r="E196" s="1070"/>
      <c r="F196" s="1295"/>
      <c r="G196" s="1295"/>
      <c r="H196" s="1295"/>
      <c r="I196" s="1295"/>
      <c r="J196" s="1295">
        <v>71.040000000000006</v>
      </c>
      <c r="K196" s="1295"/>
      <c r="L196" s="463">
        <f t="shared" si="30"/>
        <v>71.040000000000006</v>
      </c>
      <c r="M196" s="78">
        <v>58</v>
      </c>
      <c r="N196" s="78"/>
      <c r="O196" s="78">
        <f t="shared" si="41"/>
        <v>4120.3200000000006</v>
      </c>
      <c r="P196" s="1070">
        <f t="shared" si="31"/>
        <v>0</v>
      </c>
      <c r="Q196" s="1070">
        <f t="shared" si="32"/>
        <v>0</v>
      </c>
      <c r="R196" s="1070">
        <f t="shared" si="33"/>
        <v>0</v>
      </c>
      <c r="S196" s="1070">
        <f t="shared" si="34"/>
        <v>0</v>
      </c>
      <c r="T196" s="1070">
        <f t="shared" si="35"/>
        <v>0</v>
      </c>
      <c r="U196" s="1070">
        <f t="shared" si="36"/>
        <v>0</v>
      </c>
      <c r="V196" s="1070">
        <f t="shared" si="37"/>
        <v>50.742857142857147</v>
      </c>
      <c r="W196" s="1070">
        <f t="shared" si="38"/>
        <v>0</v>
      </c>
      <c r="X196" s="463">
        <f t="shared" si="39"/>
        <v>50.742857142857147</v>
      </c>
      <c r="Y196" s="78">
        <f t="shared" si="40"/>
        <v>81.199999999999989</v>
      </c>
      <c r="Z196" s="78"/>
      <c r="AA196" s="78">
        <f t="shared" si="42"/>
        <v>4120.32</v>
      </c>
    </row>
    <row r="197" spans="2:27">
      <c r="B197">
        <v>202</v>
      </c>
      <c r="C197" s="1459">
        <v>45291</v>
      </c>
      <c r="D197" s="1070"/>
      <c r="E197" s="1070"/>
      <c r="F197" s="1295"/>
      <c r="G197" s="1295"/>
      <c r="H197" s="1295"/>
      <c r="I197" s="1295"/>
      <c r="J197" s="1295">
        <v>74.64</v>
      </c>
      <c r="K197" s="1295"/>
      <c r="L197" s="463">
        <f t="shared" si="30"/>
        <v>74.64</v>
      </c>
      <c r="M197" s="78">
        <v>58</v>
      </c>
      <c r="N197" s="78"/>
      <c r="O197" s="78">
        <f t="shared" si="41"/>
        <v>4329.12</v>
      </c>
      <c r="P197" s="1070">
        <f t="shared" si="31"/>
        <v>0</v>
      </c>
      <c r="Q197" s="1070">
        <f t="shared" si="32"/>
        <v>0</v>
      </c>
      <c r="R197" s="1070">
        <f t="shared" si="33"/>
        <v>0</v>
      </c>
      <c r="S197" s="1070">
        <f t="shared" si="34"/>
        <v>0</v>
      </c>
      <c r="T197" s="1070">
        <f t="shared" si="35"/>
        <v>0</v>
      </c>
      <c r="U197" s="1070">
        <f t="shared" si="36"/>
        <v>0</v>
      </c>
      <c r="V197" s="1070">
        <f t="shared" si="37"/>
        <v>53.314285714285717</v>
      </c>
      <c r="W197" s="1070">
        <f t="shared" si="38"/>
        <v>0</v>
      </c>
      <c r="X197" s="463">
        <f t="shared" si="39"/>
        <v>53.314285714285717</v>
      </c>
      <c r="Y197" s="78">
        <f t="shared" si="40"/>
        <v>81.199999999999989</v>
      </c>
      <c r="Z197" s="78"/>
      <c r="AA197" s="78">
        <f t="shared" si="42"/>
        <v>4329.12</v>
      </c>
    </row>
    <row r="198" spans="2:27">
      <c r="B198">
        <v>203</v>
      </c>
      <c r="C198" s="1459">
        <v>45291</v>
      </c>
      <c r="D198" s="1070"/>
      <c r="E198" s="1070"/>
      <c r="F198" s="1295"/>
      <c r="G198" s="1295"/>
      <c r="H198" s="1295"/>
      <c r="I198" s="1295"/>
      <c r="J198" s="1295">
        <v>71.2</v>
      </c>
      <c r="K198" s="1295"/>
      <c r="L198" s="463">
        <f t="shared" si="30"/>
        <v>71.2</v>
      </c>
      <c r="M198" s="78">
        <v>58</v>
      </c>
      <c r="N198" s="78"/>
      <c r="O198" s="78">
        <f t="shared" si="41"/>
        <v>4129.6000000000004</v>
      </c>
      <c r="P198" s="1070">
        <f t="shared" si="31"/>
        <v>0</v>
      </c>
      <c r="Q198" s="1070">
        <f t="shared" si="32"/>
        <v>0</v>
      </c>
      <c r="R198" s="1070">
        <f t="shared" si="33"/>
        <v>0</v>
      </c>
      <c r="S198" s="1070">
        <f t="shared" si="34"/>
        <v>0</v>
      </c>
      <c r="T198" s="1070">
        <f t="shared" si="35"/>
        <v>0</v>
      </c>
      <c r="U198" s="1070">
        <f t="shared" si="36"/>
        <v>0</v>
      </c>
      <c r="V198" s="1070">
        <f t="shared" si="37"/>
        <v>50.857142857142861</v>
      </c>
      <c r="W198" s="1070">
        <f t="shared" si="38"/>
        <v>0</v>
      </c>
      <c r="X198" s="463">
        <f t="shared" si="39"/>
        <v>50.857142857142861</v>
      </c>
      <c r="Y198" s="78">
        <f t="shared" si="40"/>
        <v>81.199999999999989</v>
      </c>
      <c r="Z198" s="78"/>
      <c r="AA198" s="78">
        <f t="shared" si="42"/>
        <v>4129.5999999999995</v>
      </c>
    </row>
    <row r="199" spans="2:27">
      <c r="B199">
        <v>204</v>
      </c>
      <c r="C199" s="1459">
        <v>45291</v>
      </c>
      <c r="D199" s="1070"/>
      <c r="E199" s="1070"/>
      <c r="F199" s="1295"/>
      <c r="G199" s="1295"/>
      <c r="H199" s="1295"/>
      <c r="I199" s="1295"/>
      <c r="J199" s="1295">
        <v>69.760000000000005</v>
      </c>
      <c r="K199" s="1295"/>
      <c r="L199" s="463">
        <f t="shared" si="30"/>
        <v>69.760000000000005</v>
      </c>
      <c r="M199" s="78">
        <v>58</v>
      </c>
      <c r="N199" s="78"/>
      <c r="O199" s="78">
        <f t="shared" si="41"/>
        <v>4046.0800000000004</v>
      </c>
      <c r="P199" s="1070">
        <f t="shared" si="31"/>
        <v>0</v>
      </c>
      <c r="Q199" s="1070">
        <f t="shared" si="32"/>
        <v>0</v>
      </c>
      <c r="R199" s="1070">
        <f t="shared" si="33"/>
        <v>0</v>
      </c>
      <c r="S199" s="1070">
        <f t="shared" si="34"/>
        <v>0</v>
      </c>
      <c r="T199" s="1070">
        <f t="shared" si="35"/>
        <v>0</v>
      </c>
      <c r="U199" s="1070">
        <f t="shared" si="36"/>
        <v>0</v>
      </c>
      <c r="V199" s="1070">
        <f t="shared" si="37"/>
        <v>49.828571428571436</v>
      </c>
      <c r="W199" s="1070">
        <f t="shared" si="38"/>
        <v>0</v>
      </c>
      <c r="X199" s="463">
        <f t="shared" si="39"/>
        <v>49.828571428571436</v>
      </c>
      <c r="Y199" s="78">
        <f t="shared" si="40"/>
        <v>81.199999999999989</v>
      </c>
      <c r="Z199" s="78"/>
      <c r="AA199" s="78">
        <f t="shared" si="42"/>
        <v>4046.08</v>
      </c>
    </row>
    <row r="200" spans="2:27">
      <c r="B200">
        <v>205</v>
      </c>
      <c r="C200" s="1459">
        <v>45291</v>
      </c>
      <c r="D200" s="1070"/>
      <c r="E200" s="1070"/>
      <c r="F200" s="1295"/>
      <c r="G200" s="1295"/>
      <c r="H200" s="1295"/>
      <c r="I200" s="1295"/>
      <c r="J200" s="1295">
        <v>72.040000000000006</v>
      </c>
      <c r="K200" s="1295"/>
      <c r="L200" s="463">
        <f t="shared" si="30"/>
        <v>72.040000000000006</v>
      </c>
      <c r="M200" s="78">
        <v>58</v>
      </c>
      <c r="N200" s="78"/>
      <c r="O200" s="78">
        <f t="shared" si="41"/>
        <v>4178.3200000000006</v>
      </c>
      <c r="P200" s="1070">
        <f t="shared" si="31"/>
        <v>0</v>
      </c>
      <c r="Q200" s="1070">
        <f t="shared" si="32"/>
        <v>0</v>
      </c>
      <c r="R200" s="1070">
        <f t="shared" si="33"/>
        <v>0</v>
      </c>
      <c r="S200" s="1070">
        <f t="shared" si="34"/>
        <v>0</v>
      </c>
      <c r="T200" s="1070">
        <f t="shared" si="35"/>
        <v>0</v>
      </c>
      <c r="U200" s="1070">
        <f t="shared" si="36"/>
        <v>0</v>
      </c>
      <c r="V200" s="1070">
        <f t="shared" si="37"/>
        <v>51.457142857142863</v>
      </c>
      <c r="W200" s="1070">
        <f t="shared" si="38"/>
        <v>0</v>
      </c>
      <c r="X200" s="463">
        <f t="shared" si="39"/>
        <v>51.457142857142863</v>
      </c>
      <c r="Y200" s="78">
        <f t="shared" si="40"/>
        <v>81.199999999999989</v>
      </c>
      <c r="Z200" s="78"/>
      <c r="AA200" s="78">
        <f t="shared" si="42"/>
        <v>4178.32</v>
      </c>
    </row>
    <row r="201" spans="2:27">
      <c r="B201">
        <v>206</v>
      </c>
      <c r="C201" s="1459">
        <v>45291</v>
      </c>
      <c r="D201" s="1070"/>
      <c r="E201" s="1070"/>
      <c r="F201" s="1295"/>
      <c r="G201" s="1295"/>
      <c r="H201" s="1295"/>
      <c r="I201" s="1295"/>
      <c r="J201" s="1295">
        <v>70.239999999999995</v>
      </c>
      <c r="K201" s="1295"/>
      <c r="L201" s="463">
        <f t="shared" ref="L201:L234" si="43">SUM(D201:K201)</f>
        <v>70.239999999999995</v>
      </c>
      <c r="M201" s="78">
        <v>58</v>
      </c>
      <c r="N201" s="78"/>
      <c r="O201" s="78">
        <f t="shared" si="41"/>
        <v>4073.9199999999996</v>
      </c>
      <c r="P201" s="1070">
        <f t="shared" ref="P201:P254" si="44">(D201/$O$6)</f>
        <v>0</v>
      </c>
      <c r="Q201" s="1070">
        <f t="shared" ref="Q201:Q254" si="45">(E201/$O$6)</f>
        <v>0</v>
      </c>
      <c r="R201" s="1070">
        <f t="shared" ref="R201:R254" si="46">(F201/$O$6)</f>
        <v>0</v>
      </c>
      <c r="S201" s="1070">
        <f t="shared" ref="S201:S254" si="47">(G201/$O$6)</f>
        <v>0</v>
      </c>
      <c r="T201" s="1070">
        <f t="shared" ref="T201:T254" si="48">(H201/$O$6)</f>
        <v>0</v>
      </c>
      <c r="U201" s="1070">
        <f t="shared" ref="U201:U254" si="49">(I201/$O$6)</f>
        <v>0</v>
      </c>
      <c r="V201" s="1070">
        <f t="shared" ref="V201:V254" si="50">(J201/$O$6)</f>
        <v>50.171428571428571</v>
      </c>
      <c r="W201" s="1070">
        <f t="shared" ref="W201:W254" si="51">(K201/$O$6)</f>
        <v>0</v>
      </c>
      <c r="X201" s="463">
        <f t="shared" ref="X201:X258" si="52">SUM(P201:W201)</f>
        <v>50.171428571428571</v>
      </c>
      <c r="Y201" s="78">
        <f t="shared" ref="Y201:Y258" si="53">(M201*$O$6)</f>
        <v>81.199999999999989</v>
      </c>
      <c r="Z201" s="78"/>
      <c r="AA201" s="78">
        <f t="shared" si="42"/>
        <v>4073.9199999999992</v>
      </c>
    </row>
    <row r="202" spans="2:27">
      <c r="B202">
        <v>207</v>
      </c>
      <c r="C202" s="1459">
        <v>45291</v>
      </c>
      <c r="D202" s="1070"/>
      <c r="E202" s="1070"/>
      <c r="F202" s="1295"/>
      <c r="G202" s="1295"/>
      <c r="H202" s="1295"/>
      <c r="I202" s="1295"/>
      <c r="J202" s="1295">
        <v>73.56</v>
      </c>
      <c r="K202" s="1295"/>
      <c r="L202" s="463">
        <f t="shared" si="43"/>
        <v>73.56</v>
      </c>
      <c r="M202" s="78">
        <v>58</v>
      </c>
      <c r="N202" s="78"/>
      <c r="O202" s="78">
        <f t="shared" ref="O202:O258" si="54">(L202*M202)</f>
        <v>4266.4800000000005</v>
      </c>
      <c r="P202" s="1070">
        <f t="shared" si="44"/>
        <v>0</v>
      </c>
      <c r="Q202" s="1070">
        <f t="shared" si="45"/>
        <v>0</v>
      </c>
      <c r="R202" s="1070">
        <f t="shared" si="46"/>
        <v>0</v>
      </c>
      <c r="S202" s="1070">
        <f t="shared" si="47"/>
        <v>0</v>
      </c>
      <c r="T202" s="1070">
        <f t="shared" si="48"/>
        <v>0</v>
      </c>
      <c r="U202" s="1070">
        <f t="shared" si="49"/>
        <v>0</v>
      </c>
      <c r="V202" s="1070">
        <f t="shared" si="50"/>
        <v>52.542857142857144</v>
      </c>
      <c r="W202" s="1070">
        <f t="shared" si="51"/>
        <v>0</v>
      </c>
      <c r="X202" s="463">
        <f t="shared" si="52"/>
        <v>52.542857142857144</v>
      </c>
      <c r="Y202" s="78">
        <f t="shared" si="53"/>
        <v>81.199999999999989</v>
      </c>
      <c r="Z202" s="78"/>
      <c r="AA202" s="78">
        <f t="shared" ref="AA202:AA254" si="55">(X202*Y202)</f>
        <v>4266.4799999999996</v>
      </c>
    </row>
    <row r="203" spans="2:27">
      <c r="B203">
        <v>208</v>
      </c>
      <c r="C203" s="1459">
        <v>45291</v>
      </c>
      <c r="D203" s="1070"/>
      <c r="E203" s="1070"/>
      <c r="F203" s="1295"/>
      <c r="G203" s="1295"/>
      <c r="H203" s="1295"/>
      <c r="I203" s="1295"/>
      <c r="J203" s="1295">
        <v>73.44</v>
      </c>
      <c r="K203" s="1295"/>
      <c r="L203" s="463">
        <f t="shared" si="43"/>
        <v>73.44</v>
      </c>
      <c r="M203" s="78">
        <v>58</v>
      </c>
      <c r="N203" s="78"/>
      <c r="O203" s="78">
        <f t="shared" si="54"/>
        <v>4259.5199999999995</v>
      </c>
      <c r="P203" s="1070">
        <f t="shared" si="44"/>
        <v>0</v>
      </c>
      <c r="Q203" s="1070">
        <f t="shared" si="45"/>
        <v>0</v>
      </c>
      <c r="R203" s="1070">
        <f t="shared" si="46"/>
        <v>0</v>
      </c>
      <c r="S203" s="1070">
        <f t="shared" si="47"/>
        <v>0</v>
      </c>
      <c r="T203" s="1070">
        <f t="shared" si="48"/>
        <v>0</v>
      </c>
      <c r="U203" s="1070">
        <f t="shared" si="49"/>
        <v>0</v>
      </c>
      <c r="V203" s="1070">
        <f t="shared" si="50"/>
        <v>52.457142857142856</v>
      </c>
      <c r="W203" s="1070">
        <f t="shared" si="51"/>
        <v>0</v>
      </c>
      <c r="X203" s="463">
        <f t="shared" si="52"/>
        <v>52.457142857142856</v>
      </c>
      <c r="Y203" s="78">
        <f t="shared" si="53"/>
        <v>81.199999999999989</v>
      </c>
      <c r="Z203" s="78"/>
      <c r="AA203" s="78">
        <f t="shared" si="55"/>
        <v>4259.5199999999995</v>
      </c>
    </row>
    <row r="204" spans="2:27">
      <c r="B204">
        <v>209</v>
      </c>
      <c r="C204" s="1459">
        <v>45291</v>
      </c>
      <c r="D204" s="1070"/>
      <c r="E204" s="1070"/>
      <c r="F204" s="1295"/>
      <c r="G204" s="1295"/>
      <c r="H204" s="1295"/>
      <c r="I204" s="1295"/>
      <c r="J204" s="1295">
        <v>70.680000000000007</v>
      </c>
      <c r="K204" s="1295"/>
      <c r="L204" s="463">
        <f t="shared" si="43"/>
        <v>70.680000000000007</v>
      </c>
      <c r="M204" s="78">
        <v>58</v>
      </c>
      <c r="N204" s="78"/>
      <c r="O204" s="78">
        <f t="shared" si="54"/>
        <v>4099.4400000000005</v>
      </c>
      <c r="P204" s="1070">
        <f t="shared" si="44"/>
        <v>0</v>
      </c>
      <c r="Q204" s="1070">
        <f t="shared" si="45"/>
        <v>0</v>
      </c>
      <c r="R204" s="1070">
        <f t="shared" si="46"/>
        <v>0</v>
      </c>
      <c r="S204" s="1070">
        <f t="shared" si="47"/>
        <v>0</v>
      </c>
      <c r="T204" s="1070">
        <f t="shared" si="48"/>
        <v>0</v>
      </c>
      <c r="U204" s="1070">
        <f t="shared" si="49"/>
        <v>0</v>
      </c>
      <c r="V204" s="1070">
        <f t="shared" si="50"/>
        <v>50.485714285714295</v>
      </c>
      <c r="W204" s="1070">
        <f t="shared" si="51"/>
        <v>0</v>
      </c>
      <c r="X204" s="463">
        <f t="shared" si="52"/>
        <v>50.485714285714295</v>
      </c>
      <c r="Y204" s="78">
        <f t="shared" si="53"/>
        <v>81.199999999999989</v>
      </c>
      <c r="Z204" s="78"/>
      <c r="AA204" s="78">
        <f t="shared" si="55"/>
        <v>4099.4400000000005</v>
      </c>
    </row>
    <row r="205" spans="2:27">
      <c r="B205">
        <v>210</v>
      </c>
      <c r="C205" s="1459">
        <v>45291</v>
      </c>
      <c r="D205" s="1070"/>
      <c r="E205" s="1070"/>
      <c r="F205" s="1295"/>
      <c r="G205" s="1295"/>
      <c r="H205" s="1295"/>
      <c r="I205" s="1295"/>
      <c r="J205" s="1295">
        <v>73.64</v>
      </c>
      <c r="K205" s="1295"/>
      <c r="L205" s="463">
        <f t="shared" si="43"/>
        <v>73.64</v>
      </c>
      <c r="M205" s="78">
        <v>58</v>
      </c>
      <c r="N205" s="78"/>
      <c r="O205" s="78">
        <f t="shared" si="54"/>
        <v>4271.12</v>
      </c>
      <c r="P205" s="1070">
        <f t="shared" si="44"/>
        <v>0</v>
      </c>
      <c r="Q205" s="1070">
        <f t="shared" si="45"/>
        <v>0</v>
      </c>
      <c r="R205" s="1070">
        <f t="shared" si="46"/>
        <v>0</v>
      </c>
      <c r="S205" s="1070">
        <f t="shared" si="47"/>
        <v>0</v>
      </c>
      <c r="T205" s="1070">
        <f t="shared" si="48"/>
        <v>0</v>
      </c>
      <c r="U205" s="1070">
        <f t="shared" si="49"/>
        <v>0</v>
      </c>
      <c r="V205" s="1070">
        <f t="shared" si="50"/>
        <v>52.6</v>
      </c>
      <c r="W205" s="1070">
        <f t="shared" si="51"/>
        <v>0</v>
      </c>
      <c r="X205" s="463">
        <f t="shared" si="52"/>
        <v>52.6</v>
      </c>
      <c r="Y205" s="78">
        <f t="shared" si="53"/>
        <v>81.199999999999989</v>
      </c>
      <c r="Z205" s="78"/>
      <c r="AA205" s="78">
        <f t="shared" si="55"/>
        <v>4271.12</v>
      </c>
    </row>
    <row r="206" spans="2:27">
      <c r="B206">
        <v>211</v>
      </c>
      <c r="C206" s="1459">
        <v>45291</v>
      </c>
      <c r="D206" s="1070"/>
      <c r="E206" s="1070"/>
      <c r="F206" s="1295"/>
      <c r="G206" s="1295"/>
      <c r="H206" s="1295"/>
      <c r="I206" s="1295"/>
      <c r="J206" s="1295">
        <v>72</v>
      </c>
      <c r="K206" s="1295"/>
      <c r="L206" s="463">
        <f t="shared" si="43"/>
        <v>72</v>
      </c>
      <c r="M206" s="78">
        <v>58</v>
      </c>
      <c r="N206" s="78"/>
      <c r="O206" s="78">
        <f t="shared" si="54"/>
        <v>4176</v>
      </c>
      <c r="P206" s="1070">
        <f t="shared" si="44"/>
        <v>0</v>
      </c>
      <c r="Q206" s="1070">
        <f t="shared" si="45"/>
        <v>0</v>
      </c>
      <c r="R206" s="1070">
        <f t="shared" si="46"/>
        <v>0</v>
      </c>
      <c r="S206" s="1070">
        <f t="shared" si="47"/>
        <v>0</v>
      </c>
      <c r="T206" s="1070">
        <f t="shared" si="48"/>
        <v>0</v>
      </c>
      <c r="U206" s="1070">
        <f t="shared" si="49"/>
        <v>0</v>
      </c>
      <c r="V206" s="1070">
        <f t="shared" si="50"/>
        <v>51.428571428571431</v>
      </c>
      <c r="W206" s="1070">
        <f t="shared" si="51"/>
        <v>0</v>
      </c>
      <c r="X206" s="463">
        <f t="shared" si="52"/>
        <v>51.428571428571431</v>
      </c>
      <c r="Y206" s="78">
        <f t="shared" si="53"/>
        <v>81.199999999999989</v>
      </c>
      <c r="Z206" s="78"/>
      <c r="AA206" s="78">
        <f t="shared" si="55"/>
        <v>4176</v>
      </c>
    </row>
    <row r="207" spans="2:27">
      <c r="B207">
        <v>212</v>
      </c>
      <c r="C207" s="1459">
        <v>45291</v>
      </c>
      <c r="D207" s="1070"/>
      <c r="E207" s="1070"/>
      <c r="F207" s="1295"/>
      <c r="G207" s="1295"/>
      <c r="H207" s="1295"/>
      <c r="I207" s="1295"/>
      <c r="J207" s="1295">
        <v>69.459999999999994</v>
      </c>
      <c r="K207" s="1295"/>
      <c r="L207" s="463">
        <f t="shared" si="43"/>
        <v>69.459999999999994</v>
      </c>
      <c r="M207" s="78">
        <v>58</v>
      </c>
      <c r="N207" s="78"/>
      <c r="O207" s="78">
        <f t="shared" si="54"/>
        <v>4028.68</v>
      </c>
      <c r="P207" s="1070">
        <f t="shared" si="44"/>
        <v>0</v>
      </c>
      <c r="Q207" s="1070">
        <f t="shared" si="45"/>
        <v>0</v>
      </c>
      <c r="R207" s="1070">
        <f t="shared" si="46"/>
        <v>0</v>
      </c>
      <c r="S207" s="1070">
        <f t="shared" si="47"/>
        <v>0</v>
      </c>
      <c r="T207" s="1070">
        <f t="shared" si="48"/>
        <v>0</v>
      </c>
      <c r="U207" s="1070">
        <f t="shared" si="49"/>
        <v>0</v>
      </c>
      <c r="V207" s="1070">
        <f t="shared" si="50"/>
        <v>49.614285714285714</v>
      </c>
      <c r="W207" s="1070">
        <f t="shared" si="51"/>
        <v>0</v>
      </c>
      <c r="X207" s="463">
        <f t="shared" si="52"/>
        <v>49.614285714285714</v>
      </c>
      <c r="Y207" s="78">
        <f t="shared" si="53"/>
        <v>81.199999999999989</v>
      </c>
      <c r="Z207" s="78"/>
      <c r="AA207" s="78">
        <f t="shared" si="55"/>
        <v>4028.6799999999994</v>
      </c>
    </row>
    <row r="208" spans="2:27">
      <c r="B208">
        <v>213</v>
      </c>
      <c r="C208" s="1459">
        <v>45291</v>
      </c>
      <c r="D208" s="1070"/>
      <c r="E208" s="1070"/>
      <c r="F208" s="1295"/>
      <c r="G208" s="1295"/>
      <c r="H208" s="1295"/>
      <c r="I208" s="1295"/>
      <c r="J208" s="1295">
        <v>72.040000000000006</v>
      </c>
      <c r="K208" s="1295"/>
      <c r="L208" s="463">
        <f t="shared" si="43"/>
        <v>72.040000000000006</v>
      </c>
      <c r="M208" s="78">
        <v>58</v>
      </c>
      <c r="N208" s="78"/>
      <c r="O208" s="78">
        <f t="shared" si="54"/>
        <v>4178.3200000000006</v>
      </c>
      <c r="P208" s="1070">
        <f t="shared" si="44"/>
        <v>0</v>
      </c>
      <c r="Q208" s="1070">
        <f t="shared" si="45"/>
        <v>0</v>
      </c>
      <c r="R208" s="1070">
        <f t="shared" si="46"/>
        <v>0</v>
      </c>
      <c r="S208" s="1070">
        <f t="shared" si="47"/>
        <v>0</v>
      </c>
      <c r="T208" s="1070">
        <f t="shared" si="48"/>
        <v>0</v>
      </c>
      <c r="U208" s="1070">
        <f t="shared" si="49"/>
        <v>0</v>
      </c>
      <c r="V208" s="1070">
        <f t="shared" si="50"/>
        <v>51.457142857142863</v>
      </c>
      <c r="W208" s="1070">
        <f t="shared" si="51"/>
        <v>0</v>
      </c>
      <c r="X208" s="463">
        <f t="shared" si="52"/>
        <v>51.457142857142863</v>
      </c>
      <c r="Y208" s="78">
        <f t="shared" si="53"/>
        <v>81.199999999999989</v>
      </c>
      <c r="Z208" s="78"/>
      <c r="AA208" s="78">
        <f t="shared" si="55"/>
        <v>4178.32</v>
      </c>
    </row>
    <row r="209" spans="2:27">
      <c r="B209">
        <v>214</v>
      </c>
      <c r="C209" s="1459">
        <v>45291</v>
      </c>
      <c r="D209" s="1070"/>
      <c r="E209" s="1070"/>
      <c r="F209" s="1295"/>
      <c r="G209" s="1295"/>
      <c r="H209" s="1295"/>
      <c r="I209" s="1295"/>
      <c r="J209" s="1295">
        <v>69.72</v>
      </c>
      <c r="K209" s="1295"/>
      <c r="L209" s="463">
        <f t="shared" si="43"/>
        <v>69.72</v>
      </c>
      <c r="M209" s="78">
        <v>58</v>
      </c>
      <c r="N209" s="78"/>
      <c r="O209" s="78">
        <f t="shared" si="54"/>
        <v>4043.7599999999998</v>
      </c>
      <c r="P209" s="1070">
        <f t="shared" si="44"/>
        <v>0</v>
      </c>
      <c r="Q209" s="1070">
        <f t="shared" si="45"/>
        <v>0</v>
      </c>
      <c r="R209" s="1070">
        <f t="shared" si="46"/>
        <v>0</v>
      </c>
      <c r="S209" s="1070">
        <f t="shared" si="47"/>
        <v>0</v>
      </c>
      <c r="T209" s="1070">
        <f t="shared" si="48"/>
        <v>0</v>
      </c>
      <c r="U209" s="1070">
        <f t="shared" si="49"/>
        <v>0</v>
      </c>
      <c r="V209" s="1070">
        <f t="shared" si="50"/>
        <v>49.800000000000004</v>
      </c>
      <c r="W209" s="1070">
        <f t="shared" si="51"/>
        <v>0</v>
      </c>
      <c r="X209" s="463">
        <f t="shared" si="52"/>
        <v>49.800000000000004</v>
      </c>
      <c r="Y209" s="78">
        <f t="shared" si="53"/>
        <v>81.199999999999989</v>
      </c>
      <c r="Z209" s="78"/>
      <c r="AA209" s="78">
        <f t="shared" si="55"/>
        <v>4043.7599999999998</v>
      </c>
    </row>
    <row r="210" spans="2:27">
      <c r="B210">
        <v>215</v>
      </c>
      <c r="C210" s="1459">
        <v>45291</v>
      </c>
      <c r="D210" s="1070"/>
      <c r="E210" s="1070"/>
      <c r="F210" s="1295"/>
      <c r="G210" s="1295"/>
      <c r="H210" s="1295"/>
      <c r="I210" s="1295"/>
      <c r="J210" s="1295"/>
      <c r="K210" s="1295">
        <v>70.66</v>
      </c>
      <c r="L210" s="463">
        <f t="shared" si="43"/>
        <v>70.66</v>
      </c>
      <c r="M210" s="78">
        <v>58</v>
      </c>
      <c r="N210" s="78"/>
      <c r="O210" s="78">
        <f t="shared" si="54"/>
        <v>4098.28</v>
      </c>
      <c r="P210" s="1070">
        <f t="shared" si="44"/>
        <v>0</v>
      </c>
      <c r="Q210" s="1070">
        <f t="shared" si="45"/>
        <v>0</v>
      </c>
      <c r="R210" s="1070">
        <f t="shared" si="46"/>
        <v>0</v>
      </c>
      <c r="S210" s="1070">
        <f t="shared" si="47"/>
        <v>0</v>
      </c>
      <c r="T210" s="1070">
        <f t="shared" si="48"/>
        <v>0</v>
      </c>
      <c r="U210" s="1070">
        <f t="shared" si="49"/>
        <v>0</v>
      </c>
      <c r="V210" s="1070">
        <f t="shared" si="50"/>
        <v>0</v>
      </c>
      <c r="W210" s="1070">
        <f t="shared" si="51"/>
        <v>50.471428571428575</v>
      </c>
      <c r="X210" s="463">
        <f t="shared" si="52"/>
        <v>50.471428571428575</v>
      </c>
      <c r="Y210" s="78">
        <f t="shared" si="53"/>
        <v>81.199999999999989</v>
      </c>
      <c r="Z210" s="78"/>
      <c r="AA210" s="78">
        <f t="shared" si="55"/>
        <v>4098.28</v>
      </c>
    </row>
    <row r="211" spans="2:27">
      <c r="B211">
        <v>216</v>
      </c>
      <c r="C211" s="1459">
        <v>45291</v>
      </c>
      <c r="D211" s="1070"/>
      <c r="E211" s="1070"/>
      <c r="F211" s="1295"/>
      <c r="G211" s="1295"/>
      <c r="H211" s="1295"/>
      <c r="I211" s="1295"/>
      <c r="J211" s="1295"/>
      <c r="K211" s="1295">
        <v>68.86</v>
      </c>
      <c r="L211" s="463">
        <f t="shared" si="43"/>
        <v>68.86</v>
      </c>
      <c r="M211" s="78">
        <v>58</v>
      </c>
      <c r="N211" s="78"/>
      <c r="O211" s="78">
        <f t="shared" si="54"/>
        <v>3993.88</v>
      </c>
      <c r="P211" s="1070">
        <f t="shared" si="44"/>
        <v>0</v>
      </c>
      <c r="Q211" s="1070">
        <f t="shared" si="45"/>
        <v>0</v>
      </c>
      <c r="R211" s="1070">
        <f t="shared" si="46"/>
        <v>0</v>
      </c>
      <c r="S211" s="1070">
        <f t="shared" si="47"/>
        <v>0</v>
      </c>
      <c r="T211" s="1070">
        <f t="shared" si="48"/>
        <v>0</v>
      </c>
      <c r="U211" s="1070">
        <f t="shared" si="49"/>
        <v>0</v>
      </c>
      <c r="V211" s="1070">
        <f t="shared" si="50"/>
        <v>0</v>
      </c>
      <c r="W211" s="1070">
        <f t="shared" si="51"/>
        <v>49.18571428571429</v>
      </c>
      <c r="X211" s="463">
        <f t="shared" si="52"/>
        <v>49.18571428571429</v>
      </c>
      <c r="Y211" s="78">
        <f t="shared" si="53"/>
        <v>81.199999999999989</v>
      </c>
      <c r="Z211" s="78"/>
      <c r="AA211" s="78">
        <f t="shared" si="55"/>
        <v>3993.8799999999997</v>
      </c>
    </row>
    <row r="212" spans="2:27">
      <c r="B212">
        <v>217</v>
      </c>
      <c r="C212" s="1459">
        <v>45291</v>
      </c>
      <c r="D212" s="1070"/>
      <c r="E212" s="1070"/>
      <c r="F212" s="1295"/>
      <c r="G212" s="1295"/>
      <c r="H212" s="1295"/>
      <c r="I212" s="1295"/>
      <c r="J212" s="1295"/>
      <c r="K212" s="1295">
        <v>71.540000000000006</v>
      </c>
      <c r="L212" s="463">
        <f t="shared" si="43"/>
        <v>71.540000000000006</v>
      </c>
      <c r="M212" s="78">
        <v>58</v>
      </c>
      <c r="N212" s="78"/>
      <c r="O212" s="78">
        <f t="shared" si="54"/>
        <v>4149.3200000000006</v>
      </c>
      <c r="P212" s="1070">
        <f t="shared" si="44"/>
        <v>0</v>
      </c>
      <c r="Q212" s="1070">
        <f t="shared" si="45"/>
        <v>0</v>
      </c>
      <c r="R212" s="1070">
        <f t="shared" si="46"/>
        <v>0</v>
      </c>
      <c r="S212" s="1070">
        <f t="shared" si="47"/>
        <v>0</v>
      </c>
      <c r="T212" s="1070">
        <f t="shared" si="48"/>
        <v>0</v>
      </c>
      <c r="U212" s="1070">
        <f t="shared" si="49"/>
        <v>0</v>
      </c>
      <c r="V212" s="1070">
        <f t="shared" si="50"/>
        <v>0</v>
      </c>
      <c r="W212" s="1070">
        <f t="shared" si="51"/>
        <v>51.100000000000009</v>
      </c>
      <c r="X212" s="463">
        <f t="shared" si="52"/>
        <v>51.100000000000009</v>
      </c>
      <c r="Y212" s="78">
        <f t="shared" si="53"/>
        <v>81.199999999999989</v>
      </c>
      <c r="Z212" s="78"/>
      <c r="AA212" s="78">
        <f t="shared" si="55"/>
        <v>4149.32</v>
      </c>
    </row>
    <row r="213" spans="2:27">
      <c r="B213">
        <v>218</v>
      </c>
      <c r="C213" s="1459">
        <v>45291</v>
      </c>
      <c r="D213" s="1070"/>
      <c r="E213" s="1070"/>
      <c r="F213" s="1295"/>
      <c r="G213" s="1295"/>
      <c r="H213" s="1295"/>
      <c r="I213" s="1295"/>
      <c r="J213" s="1295"/>
      <c r="K213" s="1295">
        <v>71.02</v>
      </c>
      <c r="L213" s="463">
        <f t="shared" si="43"/>
        <v>71.02</v>
      </c>
      <c r="M213" s="78">
        <v>58</v>
      </c>
      <c r="N213" s="78"/>
      <c r="O213" s="78">
        <f t="shared" si="54"/>
        <v>4119.16</v>
      </c>
      <c r="P213" s="1070">
        <f t="shared" si="44"/>
        <v>0</v>
      </c>
      <c r="Q213" s="1070">
        <f t="shared" si="45"/>
        <v>0</v>
      </c>
      <c r="R213" s="1070">
        <f t="shared" si="46"/>
        <v>0</v>
      </c>
      <c r="S213" s="1070">
        <f t="shared" si="47"/>
        <v>0</v>
      </c>
      <c r="T213" s="1070">
        <f t="shared" si="48"/>
        <v>0</v>
      </c>
      <c r="U213" s="1070">
        <f t="shared" si="49"/>
        <v>0</v>
      </c>
      <c r="V213" s="1070">
        <f t="shared" si="50"/>
        <v>0</v>
      </c>
      <c r="W213" s="1070">
        <f t="shared" si="51"/>
        <v>50.728571428571428</v>
      </c>
      <c r="X213" s="463">
        <f t="shared" si="52"/>
        <v>50.728571428571428</v>
      </c>
      <c r="Y213" s="78">
        <f t="shared" si="53"/>
        <v>81.199999999999989</v>
      </c>
      <c r="Z213" s="78"/>
      <c r="AA213" s="78">
        <f t="shared" si="55"/>
        <v>4119.1599999999989</v>
      </c>
    </row>
    <row r="214" spans="2:27">
      <c r="B214">
        <v>219</v>
      </c>
      <c r="C214" s="1459">
        <v>45291</v>
      </c>
      <c r="D214" s="1070"/>
      <c r="E214" s="1070"/>
      <c r="F214" s="1295"/>
      <c r="G214" s="1295"/>
      <c r="H214" s="1295"/>
      <c r="I214" s="1295"/>
      <c r="J214" s="1295"/>
      <c r="K214" s="1295">
        <v>68.92</v>
      </c>
      <c r="L214" s="463">
        <f t="shared" si="43"/>
        <v>68.92</v>
      </c>
      <c r="M214" s="78">
        <v>58</v>
      </c>
      <c r="N214" s="78"/>
      <c r="O214" s="78">
        <f t="shared" si="54"/>
        <v>3997.36</v>
      </c>
      <c r="P214" s="1070">
        <f t="shared" si="44"/>
        <v>0</v>
      </c>
      <c r="Q214" s="1070">
        <f t="shared" si="45"/>
        <v>0</v>
      </c>
      <c r="R214" s="1070">
        <f t="shared" si="46"/>
        <v>0</v>
      </c>
      <c r="S214" s="1070">
        <f t="shared" si="47"/>
        <v>0</v>
      </c>
      <c r="T214" s="1070">
        <f t="shared" si="48"/>
        <v>0</v>
      </c>
      <c r="U214" s="1070">
        <f t="shared" si="49"/>
        <v>0</v>
      </c>
      <c r="V214" s="1070">
        <f t="shared" si="50"/>
        <v>0</v>
      </c>
      <c r="W214" s="1070">
        <f t="shared" si="51"/>
        <v>49.228571428571435</v>
      </c>
      <c r="X214" s="463">
        <f t="shared" si="52"/>
        <v>49.228571428571435</v>
      </c>
      <c r="Y214" s="78">
        <f t="shared" si="53"/>
        <v>81.199999999999989</v>
      </c>
      <c r="Z214" s="78"/>
      <c r="AA214" s="78">
        <f t="shared" si="55"/>
        <v>3997.36</v>
      </c>
    </row>
    <row r="215" spans="2:27">
      <c r="B215">
        <v>220</v>
      </c>
      <c r="C215" s="1459">
        <v>45291</v>
      </c>
      <c r="D215" s="1070"/>
      <c r="E215" s="1070"/>
      <c r="F215" s="1295"/>
      <c r="G215" s="1295"/>
      <c r="H215" s="1295"/>
      <c r="I215" s="1295"/>
      <c r="J215" s="1295"/>
      <c r="K215" s="1295">
        <v>72.760000000000005</v>
      </c>
      <c r="L215" s="463">
        <f t="shared" si="43"/>
        <v>72.760000000000005</v>
      </c>
      <c r="M215" s="78">
        <v>58</v>
      </c>
      <c r="N215" s="78"/>
      <c r="O215" s="78">
        <f t="shared" si="54"/>
        <v>4220.08</v>
      </c>
      <c r="P215" s="1070">
        <f t="shared" si="44"/>
        <v>0</v>
      </c>
      <c r="Q215" s="1070">
        <f t="shared" si="45"/>
        <v>0</v>
      </c>
      <c r="R215" s="1070">
        <f t="shared" si="46"/>
        <v>0</v>
      </c>
      <c r="S215" s="1070">
        <f t="shared" si="47"/>
        <v>0</v>
      </c>
      <c r="T215" s="1070">
        <f t="shared" si="48"/>
        <v>0</v>
      </c>
      <c r="U215" s="1070">
        <f t="shared" si="49"/>
        <v>0</v>
      </c>
      <c r="V215" s="1070">
        <f t="shared" si="50"/>
        <v>0</v>
      </c>
      <c r="W215" s="1070">
        <f t="shared" si="51"/>
        <v>51.971428571428575</v>
      </c>
      <c r="X215" s="463">
        <f t="shared" si="52"/>
        <v>51.971428571428575</v>
      </c>
      <c r="Y215" s="78">
        <f t="shared" si="53"/>
        <v>81.199999999999989</v>
      </c>
      <c r="Z215" s="78"/>
      <c r="AA215" s="78">
        <f t="shared" si="55"/>
        <v>4220.08</v>
      </c>
    </row>
    <row r="216" spans="2:27">
      <c r="B216">
        <v>221</v>
      </c>
      <c r="C216" s="1459">
        <v>45291</v>
      </c>
      <c r="D216" s="1070"/>
      <c r="E216" s="1070"/>
      <c r="F216" s="1295"/>
      <c r="G216" s="1295"/>
      <c r="H216" s="1295"/>
      <c r="I216" s="1295"/>
      <c r="J216" s="1295"/>
      <c r="K216" s="1295">
        <v>70.06</v>
      </c>
      <c r="L216" s="463">
        <f t="shared" si="43"/>
        <v>70.06</v>
      </c>
      <c r="M216" s="78">
        <v>58</v>
      </c>
      <c r="N216" s="78"/>
      <c r="O216" s="78">
        <f t="shared" si="54"/>
        <v>4063.48</v>
      </c>
      <c r="P216" s="1070">
        <f t="shared" si="44"/>
        <v>0</v>
      </c>
      <c r="Q216" s="1070">
        <f t="shared" si="45"/>
        <v>0</v>
      </c>
      <c r="R216" s="1070">
        <f t="shared" si="46"/>
        <v>0</v>
      </c>
      <c r="S216" s="1070">
        <f t="shared" si="47"/>
        <v>0</v>
      </c>
      <c r="T216" s="1070">
        <f t="shared" si="48"/>
        <v>0</v>
      </c>
      <c r="U216" s="1070">
        <f t="shared" si="49"/>
        <v>0</v>
      </c>
      <c r="V216" s="1070">
        <f t="shared" si="50"/>
        <v>0</v>
      </c>
      <c r="W216" s="1070">
        <f t="shared" si="51"/>
        <v>50.042857142857144</v>
      </c>
      <c r="X216" s="463">
        <f t="shared" si="52"/>
        <v>50.042857142857144</v>
      </c>
      <c r="Y216" s="78">
        <f t="shared" si="53"/>
        <v>81.199999999999989</v>
      </c>
      <c r="Z216" s="78"/>
      <c r="AA216" s="78">
        <f t="shared" si="55"/>
        <v>4063.4799999999996</v>
      </c>
    </row>
    <row r="217" spans="2:27">
      <c r="B217">
        <v>222</v>
      </c>
      <c r="C217" s="1459">
        <v>45291</v>
      </c>
      <c r="D217" s="1070"/>
      <c r="E217" s="1070"/>
      <c r="F217" s="1295"/>
      <c r="G217" s="1295"/>
      <c r="H217" s="1295"/>
      <c r="I217" s="1295"/>
      <c r="J217" s="1295"/>
      <c r="K217" s="1295">
        <v>69.319999999999993</v>
      </c>
      <c r="L217" s="463">
        <f t="shared" si="43"/>
        <v>69.319999999999993</v>
      </c>
      <c r="M217" s="78">
        <v>58</v>
      </c>
      <c r="N217" s="78"/>
      <c r="O217" s="78">
        <f t="shared" si="54"/>
        <v>4020.5599999999995</v>
      </c>
      <c r="P217" s="1070">
        <f t="shared" si="44"/>
        <v>0</v>
      </c>
      <c r="Q217" s="1070">
        <f t="shared" si="45"/>
        <v>0</v>
      </c>
      <c r="R217" s="1070">
        <f t="shared" si="46"/>
        <v>0</v>
      </c>
      <c r="S217" s="1070">
        <f t="shared" si="47"/>
        <v>0</v>
      </c>
      <c r="T217" s="1070">
        <f t="shared" si="48"/>
        <v>0</v>
      </c>
      <c r="U217" s="1070">
        <f t="shared" si="49"/>
        <v>0</v>
      </c>
      <c r="V217" s="1070">
        <f t="shared" si="50"/>
        <v>0</v>
      </c>
      <c r="W217" s="1070">
        <f t="shared" si="51"/>
        <v>49.514285714285712</v>
      </c>
      <c r="X217" s="463">
        <f t="shared" si="52"/>
        <v>49.514285714285712</v>
      </c>
      <c r="Y217" s="78">
        <f t="shared" si="53"/>
        <v>81.199999999999989</v>
      </c>
      <c r="Z217" s="78"/>
      <c r="AA217" s="78">
        <f t="shared" si="55"/>
        <v>4020.5599999999995</v>
      </c>
    </row>
    <row r="218" spans="2:27">
      <c r="B218">
        <v>223</v>
      </c>
      <c r="C218" s="1459">
        <v>45291</v>
      </c>
      <c r="D218" s="1070"/>
      <c r="E218" s="1070"/>
      <c r="F218" s="1295"/>
      <c r="G218" s="1295"/>
      <c r="H218" s="1295"/>
      <c r="I218" s="1295"/>
      <c r="J218" s="1295"/>
      <c r="K218" s="1295">
        <v>74.92</v>
      </c>
      <c r="L218" s="463">
        <f t="shared" si="43"/>
        <v>74.92</v>
      </c>
      <c r="M218" s="78">
        <v>58</v>
      </c>
      <c r="N218" s="78"/>
      <c r="O218" s="78">
        <f t="shared" si="54"/>
        <v>4345.3599999999997</v>
      </c>
      <c r="P218" s="1070">
        <f t="shared" si="44"/>
        <v>0</v>
      </c>
      <c r="Q218" s="1070">
        <f t="shared" si="45"/>
        <v>0</v>
      </c>
      <c r="R218" s="1070">
        <f t="shared" si="46"/>
        <v>0</v>
      </c>
      <c r="S218" s="1070">
        <f t="shared" si="47"/>
        <v>0</v>
      </c>
      <c r="T218" s="1070">
        <f t="shared" si="48"/>
        <v>0</v>
      </c>
      <c r="U218" s="1070">
        <f t="shared" si="49"/>
        <v>0</v>
      </c>
      <c r="V218" s="1070">
        <f t="shared" si="50"/>
        <v>0</v>
      </c>
      <c r="W218" s="1070">
        <f t="shared" si="51"/>
        <v>53.51428571428572</v>
      </c>
      <c r="X218" s="463">
        <f t="shared" si="52"/>
        <v>53.51428571428572</v>
      </c>
      <c r="Y218" s="78">
        <f t="shared" si="53"/>
        <v>81.199999999999989</v>
      </c>
      <c r="Z218" s="78"/>
      <c r="AA218" s="78">
        <f t="shared" si="55"/>
        <v>4345.3599999999997</v>
      </c>
    </row>
    <row r="219" spans="2:27">
      <c r="B219">
        <v>224</v>
      </c>
      <c r="C219" s="1459">
        <v>45291</v>
      </c>
      <c r="D219" s="1070"/>
      <c r="E219" s="1070"/>
      <c r="F219" s="1295"/>
      <c r="G219" s="1295"/>
      <c r="H219" s="1295"/>
      <c r="I219" s="1295"/>
      <c r="J219" s="1295"/>
      <c r="K219" s="1295">
        <v>71.94</v>
      </c>
      <c r="L219" s="463">
        <f t="shared" si="43"/>
        <v>71.94</v>
      </c>
      <c r="M219" s="78">
        <v>58</v>
      </c>
      <c r="N219" s="78"/>
      <c r="O219" s="78">
        <f t="shared" si="54"/>
        <v>4172.5199999999995</v>
      </c>
      <c r="P219" s="1070">
        <f t="shared" si="44"/>
        <v>0</v>
      </c>
      <c r="Q219" s="1070">
        <f t="shared" si="45"/>
        <v>0</v>
      </c>
      <c r="R219" s="1070">
        <f t="shared" si="46"/>
        <v>0</v>
      </c>
      <c r="S219" s="1070">
        <f t="shared" si="47"/>
        <v>0</v>
      </c>
      <c r="T219" s="1070">
        <f t="shared" si="48"/>
        <v>0</v>
      </c>
      <c r="U219" s="1070">
        <f t="shared" si="49"/>
        <v>0</v>
      </c>
      <c r="V219" s="1070">
        <f t="shared" si="50"/>
        <v>0</v>
      </c>
      <c r="W219" s="1070">
        <f t="shared" si="51"/>
        <v>51.385714285714286</v>
      </c>
      <c r="X219" s="463">
        <f t="shared" si="52"/>
        <v>51.385714285714286</v>
      </c>
      <c r="Y219" s="78">
        <f t="shared" si="53"/>
        <v>81.199999999999989</v>
      </c>
      <c r="Z219" s="78"/>
      <c r="AA219" s="78">
        <f t="shared" si="55"/>
        <v>4172.5199999999995</v>
      </c>
    </row>
    <row r="220" spans="2:27">
      <c r="B220">
        <v>225</v>
      </c>
      <c r="C220" s="1459">
        <v>45291</v>
      </c>
      <c r="D220" s="1070"/>
      <c r="E220" s="1070"/>
      <c r="F220" s="1295"/>
      <c r="G220" s="1295"/>
      <c r="H220" s="1295"/>
      <c r="I220" s="1295"/>
      <c r="J220" s="1295"/>
      <c r="K220" s="1295">
        <v>74.58</v>
      </c>
      <c r="L220" s="463">
        <f t="shared" si="43"/>
        <v>74.58</v>
      </c>
      <c r="M220" s="78">
        <v>58</v>
      </c>
      <c r="N220" s="78"/>
      <c r="O220" s="78">
        <f t="shared" si="54"/>
        <v>4325.6400000000003</v>
      </c>
      <c r="P220" s="1070">
        <f t="shared" si="44"/>
        <v>0</v>
      </c>
      <c r="Q220" s="1070">
        <f t="shared" si="45"/>
        <v>0</v>
      </c>
      <c r="R220" s="1070">
        <f t="shared" si="46"/>
        <v>0</v>
      </c>
      <c r="S220" s="1070">
        <f t="shared" si="47"/>
        <v>0</v>
      </c>
      <c r="T220" s="1070">
        <f t="shared" si="48"/>
        <v>0</v>
      </c>
      <c r="U220" s="1070">
        <f t="shared" si="49"/>
        <v>0</v>
      </c>
      <c r="V220" s="1070">
        <f t="shared" si="50"/>
        <v>0</v>
      </c>
      <c r="W220" s="1070">
        <f t="shared" si="51"/>
        <v>53.271428571428572</v>
      </c>
      <c r="X220" s="463">
        <f t="shared" si="52"/>
        <v>53.271428571428572</v>
      </c>
      <c r="Y220" s="78">
        <f t="shared" si="53"/>
        <v>81.199999999999989</v>
      </c>
      <c r="Z220" s="78"/>
      <c r="AA220" s="78">
        <f t="shared" si="55"/>
        <v>4325.6399999999994</v>
      </c>
    </row>
    <row r="221" spans="2:27">
      <c r="B221">
        <v>226</v>
      </c>
      <c r="C221" s="1459">
        <v>45291</v>
      </c>
      <c r="D221" s="1070"/>
      <c r="E221" s="1070"/>
      <c r="F221" s="1295"/>
      <c r="G221" s="1295"/>
      <c r="H221" s="1295"/>
      <c r="I221" s="1295"/>
      <c r="J221" s="1295"/>
      <c r="K221" s="1295">
        <v>71.739999999999995</v>
      </c>
      <c r="L221" s="463">
        <f t="shared" si="43"/>
        <v>71.739999999999995</v>
      </c>
      <c r="M221" s="78">
        <v>58</v>
      </c>
      <c r="N221" s="78"/>
      <c r="O221" s="78">
        <f t="shared" si="54"/>
        <v>4160.92</v>
      </c>
      <c r="P221" s="1070">
        <f t="shared" si="44"/>
        <v>0</v>
      </c>
      <c r="Q221" s="1070">
        <f t="shared" si="45"/>
        <v>0</v>
      </c>
      <c r="R221" s="1070">
        <f t="shared" si="46"/>
        <v>0</v>
      </c>
      <c r="S221" s="1070">
        <f t="shared" si="47"/>
        <v>0</v>
      </c>
      <c r="T221" s="1070">
        <f t="shared" si="48"/>
        <v>0</v>
      </c>
      <c r="U221" s="1070">
        <f t="shared" si="49"/>
        <v>0</v>
      </c>
      <c r="V221" s="1070">
        <f t="shared" si="50"/>
        <v>0</v>
      </c>
      <c r="W221" s="1070">
        <f t="shared" si="51"/>
        <v>51.24285714285714</v>
      </c>
      <c r="X221" s="463">
        <f t="shared" si="52"/>
        <v>51.24285714285714</v>
      </c>
      <c r="Y221" s="78">
        <f t="shared" si="53"/>
        <v>81.199999999999989</v>
      </c>
      <c r="Z221" s="78"/>
      <c r="AA221" s="78">
        <f t="shared" si="55"/>
        <v>4160.9199999999992</v>
      </c>
    </row>
    <row r="222" spans="2:27">
      <c r="B222">
        <v>227</v>
      </c>
      <c r="C222" s="1459">
        <v>45291</v>
      </c>
      <c r="D222" s="1070"/>
      <c r="E222" s="1070"/>
      <c r="F222" s="1295"/>
      <c r="G222" s="1295"/>
      <c r="H222" s="1295"/>
      <c r="I222" s="1295"/>
      <c r="J222" s="1295"/>
      <c r="K222" s="1295">
        <v>66.180000000000007</v>
      </c>
      <c r="L222" s="463">
        <f t="shared" si="43"/>
        <v>66.180000000000007</v>
      </c>
      <c r="M222" s="78">
        <v>58</v>
      </c>
      <c r="N222" s="78"/>
      <c r="O222" s="78">
        <f t="shared" si="54"/>
        <v>3838.4400000000005</v>
      </c>
      <c r="P222" s="1070">
        <f t="shared" si="44"/>
        <v>0</v>
      </c>
      <c r="Q222" s="1070">
        <f t="shared" si="45"/>
        <v>0</v>
      </c>
      <c r="R222" s="1070">
        <f t="shared" si="46"/>
        <v>0</v>
      </c>
      <c r="S222" s="1070">
        <f t="shared" si="47"/>
        <v>0</v>
      </c>
      <c r="T222" s="1070">
        <f t="shared" si="48"/>
        <v>0</v>
      </c>
      <c r="U222" s="1070">
        <f t="shared" si="49"/>
        <v>0</v>
      </c>
      <c r="V222" s="1070">
        <f t="shared" si="50"/>
        <v>0</v>
      </c>
      <c r="W222" s="1070">
        <f t="shared" si="51"/>
        <v>47.271428571428579</v>
      </c>
      <c r="X222" s="463">
        <f t="shared" si="52"/>
        <v>47.271428571428579</v>
      </c>
      <c r="Y222" s="78">
        <f t="shared" si="53"/>
        <v>81.199999999999989</v>
      </c>
      <c r="Z222" s="78"/>
      <c r="AA222" s="78">
        <f t="shared" si="55"/>
        <v>3838.44</v>
      </c>
    </row>
    <row r="223" spans="2:27">
      <c r="B223">
        <v>228</v>
      </c>
      <c r="C223" s="1459">
        <v>45291</v>
      </c>
      <c r="D223" s="1070"/>
      <c r="E223" s="1070"/>
      <c r="F223" s="1295"/>
      <c r="G223" s="1295"/>
      <c r="H223" s="1295"/>
      <c r="I223" s="1295"/>
      <c r="J223" s="1295"/>
      <c r="K223" s="1295">
        <v>72.12</v>
      </c>
      <c r="L223" s="463">
        <f t="shared" si="43"/>
        <v>72.12</v>
      </c>
      <c r="M223" s="78">
        <v>58</v>
      </c>
      <c r="N223" s="78"/>
      <c r="O223" s="78">
        <f t="shared" si="54"/>
        <v>4182.96</v>
      </c>
      <c r="P223" s="1070">
        <f t="shared" si="44"/>
        <v>0</v>
      </c>
      <c r="Q223" s="1070">
        <f t="shared" si="45"/>
        <v>0</v>
      </c>
      <c r="R223" s="1070">
        <f t="shared" si="46"/>
        <v>0</v>
      </c>
      <c r="S223" s="1070">
        <f t="shared" si="47"/>
        <v>0</v>
      </c>
      <c r="T223" s="1070">
        <f t="shared" si="48"/>
        <v>0</v>
      </c>
      <c r="U223" s="1070">
        <f t="shared" si="49"/>
        <v>0</v>
      </c>
      <c r="V223" s="1070">
        <f t="shared" si="50"/>
        <v>0</v>
      </c>
      <c r="W223" s="1070">
        <f t="shared" si="51"/>
        <v>51.51428571428572</v>
      </c>
      <c r="X223" s="463">
        <f t="shared" si="52"/>
        <v>51.51428571428572</v>
      </c>
      <c r="Y223" s="78">
        <f t="shared" si="53"/>
        <v>81.199999999999989</v>
      </c>
      <c r="Z223" s="78"/>
      <c r="AA223" s="78">
        <f t="shared" si="55"/>
        <v>4182.96</v>
      </c>
    </row>
    <row r="224" spans="2:27">
      <c r="B224">
        <v>229</v>
      </c>
      <c r="C224" s="1459">
        <v>45291</v>
      </c>
      <c r="D224" s="1070"/>
      <c r="E224" s="1070"/>
      <c r="F224" s="1295"/>
      <c r="G224" s="1295"/>
      <c r="H224" s="1295"/>
      <c r="I224" s="1295"/>
      <c r="J224" s="1295"/>
      <c r="K224" s="1295">
        <v>73.040000000000006</v>
      </c>
      <c r="L224" s="463">
        <f t="shared" si="43"/>
        <v>73.040000000000006</v>
      </c>
      <c r="M224" s="78">
        <v>58</v>
      </c>
      <c r="N224" s="78"/>
      <c r="O224" s="78">
        <f t="shared" si="54"/>
        <v>4236.3200000000006</v>
      </c>
      <c r="P224" s="1070">
        <f t="shared" si="44"/>
        <v>0</v>
      </c>
      <c r="Q224" s="1070">
        <f t="shared" si="45"/>
        <v>0</v>
      </c>
      <c r="R224" s="1070">
        <f t="shared" si="46"/>
        <v>0</v>
      </c>
      <c r="S224" s="1070">
        <f t="shared" si="47"/>
        <v>0</v>
      </c>
      <c r="T224" s="1070">
        <f t="shared" si="48"/>
        <v>0</v>
      </c>
      <c r="U224" s="1070">
        <f t="shared" si="49"/>
        <v>0</v>
      </c>
      <c r="V224" s="1070">
        <f t="shared" si="50"/>
        <v>0</v>
      </c>
      <c r="W224" s="1070">
        <f t="shared" si="51"/>
        <v>52.171428571428578</v>
      </c>
      <c r="X224" s="463">
        <f t="shared" si="52"/>
        <v>52.171428571428578</v>
      </c>
      <c r="Y224" s="78">
        <f t="shared" si="53"/>
        <v>81.199999999999989</v>
      </c>
      <c r="Z224" s="78"/>
      <c r="AA224" s="78">
        <f t="shared" si="55"/>
        <v>4236.32</v>
      </c>
    </row>
    <row r="225" spans="2:27">
      <c r="B225">
        <v>230</v>
      </c>
      <c r="C225" s="1459">
        <v>45291</v>
      </c>
      <c r="D225" s="1070"/>
      <c r="E225" s="1070"/>
      <c r="F225" s="1295"/>
      <c r="G225" s="1295"/>
      <c r="H225" s="1295"/>
      <c r="I225" s="1295"/>
      <c r="J225" s="1295"/>
      <c r="K225" s="1295">
        <v>72.400000000000006</v>
      </c>
      <c r="L225" s="463">
        <f t="shared" si="43"/>
        <v>72.400000000000006</v>
      </c>
      <c r="M225" s="78">
        <v>58</v>
      </c>
      <c r="N225" s="78"/>
      <c r="O225" s="78">
        <f t="shared" si="54"/>
        <v>4199.2000000000007</v>
      </c>
      <c r="P225" s="1070">
        <f t="shared" si="44"/>
        <v>0</v>
      </c>
      <c r="Q225" s="1070">
        <f t="shared" si="45"/>
        <v>0</v>
      </c>
      <c r="R225" s="1070">
        <f t="shared" si="46"/>
        <v>0</v>
      </c>
      <c r="S225" s="1070">
        <f t="shared" si="47"/>
        <v>0</v>
      </c>
      <c r="T225" s="1070">
        <f t="shared" si="48"/>
        <v>0</v>
      </c>
      <c r="U225" s="1070">
        <f t="shared" si="49"/>
        <v>0</v>
      </c>
      <c r="V225" s="1070">
        <f t="shared" si="50"/>
        <v>0</v>
      </c>
      <c r="W225" s="1070">
        <f t="shared" si="51"/>
        <v>51.714285714285722</v>
      </c>
      <c r="X225" s="463">
        <f t="shared" si="52"/>
        <v>51.714285714285722</v>
      </c>
      <c r="Y225" s="78">
        <f t="shared" si="53"/>
        <v>81.199999999999989</v>
      </c>
      <c r="Z225" s="78"/>
      <c r="AA225" s="78">
        <f t="shared" si="55"/>
        <v>4199.2</v>
      </c>
    </row>
    <row r="226" spans="2:27">
      <c r="B226">
        <v>231</v>
      </c>
      <c r="C226" s="1459">
        <v>45291</v>
      </c>
      <c r="D226" s="1070"/>
      <c r="E226" s="1070"/>
      <c r="F226" s="1295"/>
      <c r="G226" s="1295"/>
      <c r="H226" s="1295"/>
      <c r="I226" s="1295"/>
      <c r="J226" s="1295"/>
      <c r="K226" s="1295">
        <v>71.48</v>
      </c>
      <c r="L226" s="463">
        <f t="shared" si="43"/>
        <v>71.48</v>
      </c>
      <c r="M226" s="78">
        <v>58</v>
      </c>
      <c r="N226" s="78"/>
      <c r="O226" s="78">
        <f t="shared" si="54"/>
        <v>4145.84</v>
      </c>
      <c r="P226" s="1070">
        <f t="shared" si="44"/>
        <v>0</v>
      </c>
      <c r="Q226" s="1070">
        <f t="shared" si="45"/>
        <v>0</v>
      </c>
      <c r="R226" s="1070">
        <f t="shared" si="46"/>
        <v>0</v>
      </c>
      <c r="S226" s="1070">
        <f t="shared" si="47"/>
        <v>0</v>
      </c>
      <c r="T226" s="1070">
        <f t="shared" si="48"/>
        <v>0</v>
      </c>
      <c r="U226" s="1070">
        <f t="shared" si="49"/>
        <v>0</v>
      </c>
      <c r="V226" s="1070">
        <f t="shared" si="50"/>
        <v>0</v>
      </c>
      <c r="W226" s="1070">
        <f t="shared" si="51"/>
        <v>51.057142857142864</v>
      </c>
      <c r="X226" s="463">
        <f t="shared" si="52"/>
        <v>51.057142857142864</v>
      </c>
      <c r="Y226" s="78">
        <f t="shared" si="53"/>
        <v>81.199999999999989</v>
      </c>
      <c r="Z226" s="78"/>
      <c r="AA226" s="78">
        <f t="shared" si="55"/>
        <v>4145.84</v>
      </c>
    </row>
    <row r="227" spans="2:27">
      <c r="B227">
        <v>232</v>
      </c>
      <c r="C227" s="1459">
        <v>45291</v>
      </c>
      <c r="D227" s="1070"/>
      <c r="E227" s="1070"/>
      <c r="F227" s="1295"/>
      <c r="G227" s="1295"/>
      <c r="H227" s="1295"/>
      <c r="I227" s="1295"/>
      <c r="J227" s="1295"/>
      <c r="K227" s="1295">
        <v>72.7</v>
      </c>
      <c r="L227" s="463">
        <f t="shared" si="43"/>
        <v>72.7</v>
      </c>
      <c r="M227" s="78">
        <v>58</v>
      </c>
      <c r="N227" s="78"/>
      <c r="O227" s="78">
        <f t="shared" si="54"/>
        <v>4216.6000000000004</v>
      </c>
      <c r="P227" s="1070">
        <f t="shared" si="44"/>
        <v>0</v>
      </c>
      <c r="Q227" s="1070">
        <f t="shared" si="45"/>
        <v>0</v>
      </c>
      <c r="R227" s="1070">
        <f t="shared" si="46"/>
        <v>0</v>
      </c>
      <c r="S227" s="1070">
        <f t="shared" si="47"/>
        <v>0</v>
      </c>
      <c r="T227" s="1070">
        <f t="shared" si="48"/>
        <v>0</v>
      </c>
      <c r="U227" s="1070">
        <f t="shared" si="49"/>
        <v>0</v>
      </c>
      <c r="V227" s="1070">
        <f t="shared" si="50"/>
        <v>0</v>
      </c>
      <c r="W227" s="1070">
        <f t="shared" si="51"/>
        <v>51.928571428571431</v>
      </c>
      <c r="X227" s="463">
        <f t="shared" si="52"/>
        <v>51.928571428571431</v>
      </c>
      <c r="Y227" s="78">
        <f t="shared" si="53"/>
        <v>81.199999999999989</v>
      </c>
      <c r="Z227" s="78"/>
      <c r="AA227" s="78">
        <f t="shared" si="55"/>
        <v>4216.5999999999995</v>
      </c>
    </row>
    <row r="228" spans="2:27">
      <c r="B228">
        <v>233</v>
      </c>
      <c r="C228" s="1459">
        <v>45291</v>
      </c>
      <c r="D228" s="1070"/>
      <c r="E228" s="1070"/>
      <c r="F228" s="1295"/>
      <c r="G228" s="1295"/>
      <c r="H228" s="1295"/>
      <c r="I228" s="1295"/>
      <c r="J228" s="1295"/>
      <c r="K228" s="1295">
        <v>72.5</v>
      </c>
      <c r="L228" s="463">
        <f t="shared" si="43"/>
        <v>72.5</v>
      </c>
      <c r="M228" s="78">
        <v>58</v>
      </c>
      <c r="N228" s="78"/>
      <c r="O228" s="78">
        <f t="shared" si="54"/>
        <v>4205</v>
      </c>
      <c r="P228" s="1070">
        <f t="shared" si="44"/>
        <v>0</v>
      </c>
      <c r="Q228" s="1070">
        <f t="shared" si="45"/>
        <v>0</v>
      </c>
      <c r="R228" s="1070">
        <f t="shared" si="46"/>
        <v>0</v>
      </c>
      <c r="S228" s="1070">
        <f t="shared" si="47"/>
        <v>0</v>
      </c>
      <c r="T228" s="1070">
        <f t="shared" si="48"/>
        <v>0</v>
      </c>
      <c r="U228" s="1070">
        <f t="shared" si="49"/>
        <v>0</v>
      </c>
      <c r="V228" s="1070">
        <f t="shared" si="50"/>
        <v>0</v>
      </c>
      <c r="W228" s="1070">
        <f t="shared" si="51"/>
        <v>51.785714285714292</v>
      </c>
      <c r="X228" s="463">
        <f t="shared" si="52"/>
        <v>51.785714285714292</v>
      </c>
      <c r="Y228" s="78">
        <f t="shared" si="53"/>
        <v>81.199999999999989</v>
      </c>
      <c r="Z228" s="78"/>
      <c r="AA228" s="78">
        <f t="shared" si="55"/>
        <v>4205</v>
      </c>
    </row>
    <row r="229" spans="2:27">
      <c r="B229">
        <v>234</v>
      </c>
      <c r="C229" s="1459">
        <v>45291</v>
      </c>
      <c r="D229" s="1070"/>
      <c r="E229" s="1070"/>
      <c r="F229" s="1295"/>
      <c r="G229" s="1295"/>
      <c r="H229" s="1295"/>
      <c r="I229" s="1295"/>
      <c r="J229" s="1295"/>
      <c r="K229" s="1295">
        <v>73.319999999999993</v>
      </c>
      <c r="L229" s="463">
        <f t="shared" si="43"/>
        <v>73.319999999999993</v>
      </c>
      <c r="M229" s="78">
        <v>58</v>
      </c>
      <c r="N229" s="78"/>
      <c r="O229" s="78">
        <f t="shared" si="54"/>
        <v>4252.5599999999995</v>
      </c>
      <c r="P229" s="1070">
        <f t="shared" si="44"/>
        <v>0</v>
      </c>
      <c r="Q229" s="1070">
        <f t="shared" si="45"/>
        <v>0</v>
      </c>
      <c r="R229" s="1070">
        <f t="shared" si="46"/>
        <v>0</v>
      </c>
      <c r="S229" s="1070">
        <f t="shared" si="47"/>
        <v>0</v>
      </c>
      <c r="T229" s="1070">
        <f t="shared" si="48"/>
        <v>0</v>
      </c>
      <c r="U229" s="1070">
        <f t="shared" si="49"/>
        <v>0</v>
      </c>
      <c r="V229" s="1070">
        <f t="shared" si="50"/>
        <v>0</v>
      </c>
      <c r="W229" s="1070">
        <f t="shared" si="51"/>
        <v>52.371428571428567</v>
      </c>
      <c r="X229" s="463">
        <f t="shared" si="52"/>
        <v>52.371428571428567</v>
      </c>
      <c r="Y229" s="78">
        <f t="shared" si="53"/>
        <v>81.199999999999989</v>
      </c>
      <c r="Z229" s="78"/>
      <c r="AA229" s="78">
        <f t="shared" si="55"/>
        <v>4252.5599999999986</v>
      </c>
    </row>
    <row r="230" spans="2:27">
      <c r="B230">
        <v>235</v>
      </c>
      <c r="C230" s="1459">
        <v>45291</v>
      </c>
      <c r="D230" s="1070"/>
      <c r="E230" s="1070"/>
      <c r="F230" s="1295"/>
      <c r="G230" s="1295"/>
      <c r="H230" s="1295"/>
      <c r="I230" s="1295"/>
      <c r="J230" s="1295"/>
      <c r="K230" s="1295">
        <v>71.98</v>
      </c>
      <c r="L230" s="463">
        <f t="shared" si="43"/>
        <v>71.98</v>
      </c>
      <c r="M230" s="78">
        <v>58</v>
      </c>
      <c r="N230" s="78"/>
      <c r="O230" s="78">
        <f t="shared" si="54"/>
        <v>4174.84</v>
      </c>
      <c r="P230" s="1070">
        <f t="shared" si="44"/>
        <v>0</v>
      </c>
      <c r="Q230" s="1070">
        <f t="shared" si="45"/>
        <v>0</v>
      </c>
      <c r="R230" s="1070">
        <f t="shared" si="46"/>
        <v>0</v>
      </c>
      <c r="S230" s="1070">
        <f t="shared" si="47"/>
        <v>0</v>
      </c>
      <c r="T230" s="1070">
        <f t="shared" si="48"/>
        <v>0</v>
      </c>
      <c r="U230" s="1070">
        <f t="shared" si="49"/>
        <v>0</v>
      </c>
      <c r="V230" s="1070">
        <f t="shared" si="50"/>
        <v>0</v>
      </c>
      <c r="W230" s="1070">
        <f t="shared" si="51"/>
        <v>51.414285714285718</v>
      </c>
      <c r="X230" s="463">
        <f t="shared" si="52"/>
        <v>51.414285714285718</v>
      </c>
      <c r="Y230" s="78">
        <f t="shared" si="53"/>
        <v>81.199999999999989</v>
      </c>
      <c r="Z230" s="78"/>
      <c r="AA230" s="78">
        <f t="shared" si="55"/>
        <v>4174.84</v>
      </c>
    </row>
    <row r="231" spans="2:27">
      <c r="B231">
        <v>236</v>
      </c>
      <c r="C231" s="1459">
        <v>45291</v>
      </c>
      <c r="D231" s="1070"/>
      <c r="E231" s="1070"/>
      <c r="F231" s="1295"/>
      <c r="G231" s="1295"/>
      <c r="H231" s="1295"/>
      <c r="I231" s="1295"/>
      <c r="J231" s="1295"/>
      <c r="K231" s="1295">
        <v>50.54</v>
      </c>
      <c r="L231" s="463">
        <f t="shared" si="43"/>
        <v>50.54</v>
      </c>
      <c r="M231" s="78">
        <v>58</v>
      </c>
      <c r="N231" s="78"/>
      <c r="O231" s="78">
        <f t="shared" si="54"/>
        <v>2931.32</v>
      </c>
      <c r="P231" s="1070">
        <f t="shared" si="44"/>
        <v>0</v>
      </c>
      <c r="Q231" s="1070">
        <f t="shared" si="45"/>
        <v>0</v>
      </c>
      <c r="R231" s="1070">
        <f t="shared" si="46"/>
        <v>0</v>
      </c>
      <c r="S231" s="1070">
        <f t="shared" si="47"/>
        <v>0</v>
      </c>
      <c r="T231" s="1070">
        <f t="shared" si="48"/>
        <v>0</v>
      </c>
      <c r="U231" s="1070">
        <f t="shared" si="49"/>
        <v>0</v>
      </c>
      <c r="V231" s="1070">
        <f t="shared" si="50"/>
        <v>0</v>
      </c>
      <c r="W231" s="1070">
        <f t="shared" si="51"/>
        <v>36.1</v>
      </c>
      <c r="X231" s="463">
        <f t="shared" si="52"/>
        <v>36.1</v>
      </c>
      <c r="Y231" s="78">
        <f t="shared" si="53"/>
        <v>81.199999999999989</v>
      </c>
      <c r="Z231" s="78"/>
      <c r="AA231" s="78">
        <f t="shared" si="55"/>
        <v>2931.3199999999997</v>
      </c>
    </row>
    <row r="232" spans="2:27">
      <c r="B232">
        <v>237</v>
      </c>
      <c r="C232" s="1459">
        <v>45291</v>
      </c>
      <c r="D232" s="1070"/>
      <c r="E232" s="1070"/>
      <c r="F232" s="1295"/>
      <c r="G232" s="1295"/>
      <c r="H232" s="1295"/>
      <c r="I232" s="1295"/>
      <c r="J232" s="1295"/>
      <c r="K232" s="1295">
        <v>70.88</v>
      </c>
      <c r="L232" s="463">
        <f t="shared" si="43"/>
        <v>70.88</v>
      </c>
      <c r="M232" s="78">
        <v>58</v>
      </c>
      <c r="N232" s="78"/>
      <c r="O232" s="78">
        <f t="shared" si="54"/>
        <v>4111.04</v>
      </c>
      <c r="P232" s="1070">
        <f t="shared" si="44"/>
        <v>0</v>
      </c>
      <c r="Q232" s="1070">
        <f t="shared" si="45"/>
        <v>0</v>
      </c>
      <c r="R232" s="1070">
        <f t="shared" si="46"/>
        <v>0</v>
      </c>
      <c r="S232" s="1070">
        <f t="shared" si="47"/>
        <v>0</v>
      </c>
      <c r="T232" s="1070">
        <f t="shared" si="48"/>
        <v>0</v>
      </c>
      <c r="U232" s="1070">
        <f t="shared" si="49"/>
        <v>0</v>
      </c>
      <c r="V232" s="1070">
        <f t="shared" si="50"/>
        <v>0</v>
      </c>
      <c r="W232" s="1070">
        <f t="shared" si="51"/>
        <v>50.628571428571426</v>
      </c>
      <c r="X232" s="463">
        <f t="shared" si="52"/>
        <v>50.628571428571426</v>
      </c>
      <c r="Y232" s="78">
        <f t="shared" si="53"/>
        <v>81.199999999999989</v>
      </c>
      <c r="Z232" s="78"/>
      <c r="AA232" s="78">
        <f t="shared" si="55"/>
        <v>4111.0399999999991</v>
      </c>
    </row>
    <row r="233" spans="2:27">
      <c r="B233">
        <v>238</v>
      </c>
      <c r="C233" s="1459">
        <v>45291</v>
      </c>
      <c r="D233" s="1070"/>
      <c r="E233" s="1070"/>
      <c r="F233" s="1295"/>
      <c r="G233" s="1295"/>
      <c r="H233" s="1295"/>
      <c r="I233" s="1295"/>
      <c r="J233" s="1295"/>
      <c r="K233" s="1295">
        <v>70.040000000000006</v>
      </c>
      <c r="L233" s="463">
        <f t="shared" si="43"/>
        <v>70.040000000000006</v>
      </c>
      <c r="M233" s="78">
        <v>58</v>
      </c>
      <c r="N233" s="78"/>
      <c r="O233" s="78">
        <f t="shared" si="54"/>
        <v>4062.32</v>
      </c>
      <c r="P233" s="1070">
        <f t="shared" si="44"/>
        <v>0</v>
      </c>
      <c r="Q233" s="1070">
        <f t="shared" si="45"/>
        <v>0</v>
      </c>
      <c r="R233" s="1070">
        <f t="shared" si="46"/>
        <v>0</v>
      </c>
      <c r="S233" s="1070">
        <f t="shared" si="47"/>
        <v>0</v>
      </c>
      <c r="T233" s="1070">
        <f t="shared" si="48"/>
        <v>0</v>
      </c>
      <c r="U233" s="1070">
        <f t="shared" si="49"/>
        <v>0</v>
      </c>
      <c r="V233" s="1070">
        <f t="shared" si="50"/>
        <v>0</v>
      </c>
      <c r="W233" s="1070">
        <f t="shared" si="51"/>
        <v>50.028571428571439</v>
      </c>
      <c r="X233" s="463">
        <f t="shared" si="52"/>
        <v>50.028571428571439</v>
      </c>
      <c r="Y233" s="78">
        <f t="shared" si="53"/>
        <v>81.199999999999989</v>
      </c>
      <c r="Z233" s="78"/>
      <c r="AA233" s="78">
        <f t="shared" si="55"/>
        <v>4062.32</v>
      </c>
    </row>
    <row r="234" spans="2:27">
      <c r="B234">
        <v>239</v>
      </c>
      <c r="C234" s="1459">
        <v>45291</v>
      </c>
      <c r="D234" s="1070"/>
      <c r="E234" s="1070"/>
      <c r="F234" s="1295"/>
      <c r="G234" s="1295"/>
      <c r="H234" s="1295"/>
      <c r="I234" s="1295"/>
      <c r="J234" s="1295"/>
      <c r="K234" s="1295">
        <v>68.34</v>
      </c>
      <c r="L234" s="463">
        <f t="shared" si="43"/>
        <v>68.34</v>
      </c>
      <c r="M234" s="78">
        <v>58</v>
      </c>
      <c r="N234" s="78"/>
      <c r="O234" s="78">
        <f t="shared" si="54"/>
        <v>3963.7200000000003</v>
      </c>
      <c r="P234" s="1070">
        <f t="shared" si="44"/>
        <v>0</v>
      </c>
      <c r="Q234" s="1070">
        <f t="shared" si="45"/>
        <v>0</v>
      </c>
      <c r="R234" s="1070">
        <f t="shared" si="46"/>
        <v>0</v>
      </c>
      <c r="S234" s="1070">
        <f t="shared" si="47"/>
        <v>0</v>
      </c>
      <c r="T234" s="1070">
        <f t="shared" si="48"/>
        <v>0</v>
      </c>
      <c r="U234" s="1070">
        <f t="shared" si="49"/>
        <v>0</v>
      </c>
      <c r="V234" s="1070">
        <f t="shared" si="50"/>
        <v>0</v>
      </c>
      <c r="W234" s="1070">
        <f t="shared" si="51"/>
        <v>48.814285714285717</v>
      </c>
      <c r="X234" s="463">
        <f t="shared" si="52"/>
        <v>48.814285714285717</v>
      </c>
      <c r="Y234" s="78">
        <f t="shared" si="53"/>
        <v>81.199999999999989</v>
      </c>
      <c r="Z234" s="78"/>
      <c r="AA234" s="78">
        <f t="shared" si="55"/>
        <v>3963.72</v>
      </c>
    </row>
    <row r="235" spans="2:27">
      <c r="B235">
        <v>240</v>
      </c>
      <c r="C235" s="1459">
        <v>45291</v>
      </c>
      <c r="D235" s="1070"/>
      <c r="E235" s="1070"/>
      <c r="F235" s="1295"/>
      <c r="G235" s="1295"/>
      <c r="H235" s="1295"/>
      <c r="I235" s="1295"/>
      <c r="J235" s="1295"/>
      <c r="K235" s="1295">
        <v>71</v>
      </c>
      <c r="L235" s="463">
        <f>SUM(D235:K235)</f>
        <v>71</v>
      </c>
      <c r="M235" s="78">
        <v>58</v>
      </c>
      <c r="N235" s="78"/>
      <c r="O235" s="78">
        <f t="shared" si="54"/>
        <v>4118</v>
      </c>
      <c r="P235" s="1070">
        <f t="shared" si="44"/>
        <v>0</v>
      </c>
      <c r="Q235" s="1070">
        <f t="shared" si="45"/>
        <v>0</v>
      </c>
      <c r="R235" s="1070">
        <f t="shared" si="46"/>
        <v>0</v>
      </c>
      <c r="S235" s="1070">
        <f t="shared" si="47"/>
        <v>0</v>
      </c>
      <c r="T235" s="1070">
        <f t="shared" si="48"/>
        <v>0</v>
      </c>
      <c r="U235" s="1070">
        <f t="shared" si="49"/>
        <v>0</v>
      </c>
      <c r="V235" s="1070">
        <f t="shared" si="50"/>
        <v>0</v>
      </c>
      <c r="W235" s="1070">
        <f t="shared" si="51"/>
        <v>50.714285714285715</v>
      </c>
      <c r="X235" s="463">
        <f t="shared" si="52"/>
        <v>50.714285714285715</v>
      </c>
      <c r="Y235" s="78">
        <f t="shared" si="53"/>
        <v>81.199999999999989</v>
      </c>
      <c r="Z235" s="78"/>
      <c r="AA235" s="78">
        <f t="shared" si="55"/>
        <v>4117.9999999999991</v>
      </c>
    </row>
    <row r="236" spans="2:27" hidden="1">
      <c r="B236">
        <v>241</v>
      </c>
      <c r="C236" s="1459">
        <v>45363</v>
      </c>
      <c r="H236" s="77">
        <v>24.54</v>
      </c>
      <c r="I236" s="77">
        <v>30.26</v>
      </c>
      <c r="L236" s="463">
        <f t="shared" ref="L236:L258" si="56">SUM(D236:K236)</f>
        <v>54.8</v>
      </c>
      <c r="M236" s="78">
        <v>60</v>
      </c>
      <c r="N236" s="78"/>
      <c r="O236" s="78">
        <f t="shared" si="54"/>
        <v>3288</v>
      </c>
      <c r="P236" s="1070">
        <f t="shared" si="44"/>
        <v>0</v>
      </c>
      <c r="Q236" s="1070">
        <f t="shared" si="45"/>
        <v>0</v>
      </c>
      <c r="R236" s="1070">
        <f t="shared" si="46"/>
        <v>0</v>
      </c>
      <c r="S236" s="1070">
        <f t="shared" si="47"/>
        <v>0</v>
      </c>
      <c r="T236" s="1070">
        <f t="shared" si="48"/>
        <v>17.528571428571428</v>
      </c>
      <c r="U236" s="1070">
        <f t="shared" si="49"/>
        <v>21.614285714285717</v>
      </c>
      <c r="V236" s="1070">
        <f t="shared" si="50"/>
        <v>0</v>
      </c>
      <c r="W236" s="1070">
        <f t="shared" si="51"/>
        <v>0</v>
      </c>
      <c r="X236" s="463">
        <f t="shared" si="52"/>
        <v>39.142857142857146</v>
      </c>
      <c r="Y236" s="78">
        <f t="shared" si="53"/>
        <v>84</v>
      </c>
      <c r="Z236" s="78"/>
      <c r="AA236" s="78">
        <f t="shared" si="55"/>
        <v>3288.0000000000005</v>
      </c>
    </row>
    <row r="237" spans="2:27" ht="14.25" hidden="1" customHeight="1">
      <c r="B237">
        <v>242</v>
      </c>
      <c r="C237" s="1459">
        <v>45363</v>
      </c>
      <c r="H237" s="77">
        <v>30</v>
      </c>
      <c r="L237" s="463">
        <f t="shared" si="56"/>
        <v>30</v>
      </c>
      <c r="M237" s="78">
        <v>60</v>
      </c>
      <c r="N237" s="78"/>
      <c r="O237" s="78">
        <f t="shared" si="54"/>
        <v>1800</v>
      </c>
      <c r="P237" s="1070">
        <f t="shared" si="44"/>
        <v>0</v>
      </c>
      <c r="Q237" s="1070">
        <f t="shared" si="45"/>
        <v>0</v>
      </c>
      <c r="R237" s="1070">
        <f t="shared" si="46"/>
        <v>0</v>
      </c>
      <c r="S237" s="1070">
        <f t="shared" si="47"/>
        <v>0</v>
      </c>
      <c r="T237" s="1070">
        <f t="shared" si="48"/>
        <v>21.428571428571431</v>
      </c>
      <c r="U237" s="1070">
        <f t="shared" si="49"/>
        <v>0</v>
      </c>
      <c r="V237" s="1070">
        <f t="shared" si="50"/>
        <v>0</v>
      </c>
      <c r="W237" s="1070">
        <f t="shared" si="51"/>
        <v>0</v>
      </c>
      <c r="X237" s="463">
        <f t="shared" si="52"/>
        <v>21.428571428571431</v>
      </c>
      <c r="Y237" s="78">
        <f t="shared" si="53"/>
        <v>84</v>
      </c>
      <c r="Z237" s="78"/>
      <c r="AA237" s="78">
        <f t="shared" si="55"/>
        <v>1800.0000000000002</v>
      </c>
    </row>
    <row r="238" spans="2:27" hidden="1">
      <c r="B238">
        <v>243</v>
      </c>
      <c r="C238" s="1459">
        <v>45363</v>
      </c>
      <c r="H238" s="77">
        <v>20.257999999999999</v>
      </c>
      <c r="K238" s="77">
        <v>72.260000000000005</v>
      </c>
      <c r="L238" s="463">
        <f t="shared" si="56"/>
        <v>92.518000000000001</v>
      </c>
      <c r="M238" s="78">
        <v>60</v>
      </c>
      <c r="N238" s="78"/>
      <c r="O238" s="78">
        <f t="shared" si="54"/>
        <v>5551.08</v>
      </c>
      <c r="P238" s="1070">
        <f t="shared" si="44"/>
        <v>0</v>
      </c>
      <c r="Q238" s="1070">
        <f t="shared" si="45"/>
        <v>0</v>
      </c>
      <c r="R238" s="1070">
        <f t="shared" si="46"/>
        <v>0</v>
      </c>
      <c r="S238" s="1070">
        <f t="shared" si="47"/>
        <v>0</v>
      </c>
      <c r="T238" s="1070">
        <f t="shared" si="48"/>
        <v>14.47</v>
      </c>
      <c r="U238" s="1070">
        <f t="shared" si="49"/>
        <v>0</v>
      </c>
      <c r="V238" s="1070">
        <f t="shared" si="50"/>
        <v>0</v>
      </c>
      <c r="W238" s="1070">
        <f t="shared" si="51"/>
        <v>51.614285714285721</v>
      </c>
      <c r="X238" s="463">
        <f t="shared" si="52"/>
        <v>66.084285714285727</v>
      </c>
      <c r="Y238" s="78">
        <f t="shared" si="53"/>
        <v>84</v>
      </c>
      <c r="Z238" s="78"/>
      <c r="AA238" s="78">
        <f t="shared" si="55"/>
        <v>5551.0800000000008</v>
      </c>
    </row>
    <row r="239" spans="2:27" hidden="1">
      <c r="B239">
        <v>244</v>
      </c>
      <c r="C239" s="1459">
        <v>45363</v>
      </c>
      <c r="K239" s="77">
        <v>73.98</v>
      </c>
      <c r="L239" s="463">
        <f t="shared" si="56"/>
        <v>73.98</v>
      </c>
      <c r="M239" s="78">
        <v>60</v>
      </c>
      <c r="N239" s="78"/>
      <c r="O239" s="78">
        <f t="shared" si="54"/>
        <v>4438.8</v>
      </c>
      <c r="P239" s="1070">
        <f t="shared" si="44"/>
        <v>0</v>
      </c>
      <c r="Q239" s="1070">
        <f t="shared" si="45"/>
        <v>0</v>
      </c>
      <c r="R239" s="1070">
        <f t="shared" si="46"/>
        <v>0</v>
      </c>
      <c r="S239" s="1070">
        <f t="shared" si="47"/>
        <v>0</v>
      </c>
      <c r="T239" s="1070">
        <f t="shared" si="48"/>
        <v>0</v>
      </c>
      <c r="U239" s="1070">
        <f t="shared" si="49"/>
        <v>0</v>
      </c>
      <c r="V239" s="1070">
        <f t="shared" si="50"/>
        <v>0</v>
      </c>
      <c r="W239" s="1070">
        <f t="shared" si="51"/>
        <v>52.842857142857149</v>
      </c>
      <c r="X239" s="463">
        <f t="shared" si="52"/>
        <v>52.842857142857149</v>
      </c>
      <c r="Y239" s="78">
        <f t="shared" si="53"/>
        <v>84</v>
      </c>
      <c r="Z239" s="78"/>
      <c r="AA239" s="78">
        <f t="shared" si="55"/>
        <v>4438.8</v>
      </c>
    </row>
    <row r="240" spans="2:27" hidden="1">
      <c r="B240">
        <v>245</v>
      </c>
      <c r="C240" s="1459">
        <v>45363</v>
      </c>
      <c r="K240" s="77">
        <v>67.02</v>
      </c>
      <c r="L240" s="463">
        <f t="shared" si="56"/>
        <v>67.02</v>
      </c>
      <c r="M240" s="78">
        <v>60</v>
      </c>
      <c r="N240" s="78"/>
      <c r="O240" s="78">
        <f t="shared" si="54"/>
        <v>4021.2</v>
      </c>
      <c r="P240" s="1070">
        <f t="shared" si="44"/>
        <v>0</v>
      </c>
      <c r="Q240" s="1070">
        <f t="shared" si="45"/>
        <v>0</v>
      </c>
      <c r="R240" s="1070">
        <f t="shared" si="46"/>
        <v>0</v>
      </c>
      <c r="S240" s="1070">
        <f t="shared" si="47"/>
        <v>0</v>
      </c>
      <c r="T240" s="1070">
        <f t="shared" si="48"/>
        <v>0</v>
      </c>
      <c r="U240" s="1070">
        <f t="shared" si="49"/>
        <v>0</v>
      </c>
      <c r="V240" s="1070">
        <f t="shared" si="50"/>
        <v>0</v>
      </c>
      <c r="W240" s="1070">
        <f t="shared" si="51"/>
        <v>47.871428571428574</v>
      </c>
      <c r="X240" s="463">
        <f t="shared" si="52"/>
        <v>47.871428571428574</v>
      </c>
      <c r="Y240" s="78">
        <f t="shared" si="53"/>
        <v>84</v>
      </c>
      <c r="Z240" s="78"/>
      <c r="AA240" s="78">
        <f t="shared" si="55"/>
        <v>4021.2000000000003</v>
      </c>
    </row>
    <row r="241" spans="2:27" hidden="1">
      <c r="B241">
        <v>246</v>
      </c>
      <c r="C241" s="1459">
        <v>45363</v>
      </c>
      <c r="K241" s="77">
        <v>67.900000000000006</v>
      </c>
      <c r="L241" s="463">
        <f t="shared" si="56"/>
        <v>67.900000000000006</v>
      </c>
      <c r="M241" s="78">
        <v>60</v>
      </c>
      <c r="N241" s="78"/>
      <c r="O241" s="78">
        <f t="shared" si="54"/>
        <v>4074.0000000000005</v>
      </c>
      <c r="P241" s="1070">
        <f t="shared" si="44"/>
        <v>0</v>
      </c>
      <c r="Q241" s="1070">
        <f t="shared" si="45"/>
        <v>0</v>
      </c>
      <c r="R241" s="1070">
        <f t="shared" si="46"/>
        <v>0</v>
      </c>
      <c r="S241" s="1070">
        <f t="shared" si="47"/>
        <v>0</v>
      </c>
      <c r="T241" s="1070">
        <f t="shared" si="48"/>
        <v>0</v>
      </c>
      <c r="U241" s="1070">
        <f t="shared" si="49"/>
        <v>0</v>
      </c>
      <c r="V241" s="1070">
        <f t="shared" si="50"/>
        <v>0</v>
      </c>
      <c r="W241" s="1070">
        <f t="shared" si="51"/>
        <v>48.500000000000007</v>
      </c>
      <c r="X241" s="463">
        <f t="shared" si="52"/>
        <v>48.500000000000007</v>
      </c>
      <c r="Y241" s="78">
        <f t="shared" si="53"/>
        <v>84</v>
      </c>
      <c r="Z241" s="78"/>
      <c r="AA241" s="78">
        <f t="shared" si="55"/>
        <v>4074.0000000000005</v>
      </c>
    </row>
    <row r="242" spans="2:27" hidden="1">
      <c r="B242">
        <v>247</v>
      </c>
      <c r="C242" s="1459">
        <v>45363</v>
      </c>
      <c r="K242" s="77">
        <v>71.42</v>
      </c>
      <c r="L242" s="463">
        <f t="shared" si="56"/>
        <v>71.42</v>
      </c>
      <c r="M242" s="78">
        <v>60</v>
      </c>
      <c r="N242" s="78"/>
      <c r="O242" s="78">
        <f t="shared" si="54"/>
        <v>4285.2</v>
      </c>
      <c r="P242" s="1070">
        <f t="shared" si="44"/>
        <v>0</v>
      </c>
      <c r="Q242" s="1070">
        <f t="shared" si="45"/>
        <v>0</v>
      </c>
      <c r="R242" s="1070">
        <f t="shared" si="46"/>
        <v>0</v>
      </c>
      <c r="S242" s="1070">
        <f t="shared" si="47"/>
        <v>0</v>
      </c>
      <c r="T242" s="1070">
        <f t="shared" si="48"/>
        <v>0</v>
      </c>
      <c r="U242" s="1070">
        <f t="shared" si="49"/>
        <v>0</v>
      </c>
      <c r="V242" s="1070">
        <f t="shared" si="50"/>
        <v>0</v>
      </c>
      <c r="W242" s="1070">
        <f t="shared" si="51"/>
        <v>51.01428571428572</v>
      </c>
      <c r="X242" s="463">
        <f t="shared" si="52"/>
        <v>51.01428571428572</v>
      </c>
      <c r="Y242" s="78">
        <f t="shared" si="53"/>
        <v>84</v>
      </c>
      <c r="Z242" s="78"/>
      <c r="AA242" s="78">
        <f t="shared" si="55"/>
        <v>4285.2000000000007</v>
      </c>
    </row>
    <row r="243" spans="2:27" hidden="1">
      <c r="B243">
        <v>248</v>
      </c>
      <c r="C243" s="1459">
        <v>45363</v>
      </c>
      <c r="K243" s="77">
        <v>68.819999999999993</v>
      </c>
      <c r="L243" s="463">
        <f t="shared" si="56"/>
        <v>68.819999999999993</v>
      </c>
      <c r="M243" s="78">
        <v>60</v>
      </c>
      <c r="N243" s="78"/>
      <c r="O243" s="78">
        <f t="shared" si="54"/>
        <v>4129.2</v>
      </c>
      <c r="P243" s="1070">
        <f t="shared" si="44"/>
        <v>0</v>
      </c>
      <c r="Q243" s="1070">
        <f t="shared" si="45"/>
        <v>0</v>
      </c>
      <c r="R243" s="1070">
        <f t="shared" si="46"/>
        <v>0</v>
      </c>
      <c r="S243" s="1070">
        <f t="shared" si="47"/>
        <v>0</v>
      </c>
      <c r="T243" s="1070">
        <f t="shared" si="48"/>
        <v>0</v>
      </c>
      <c r="U243" s="1070">
        <f t="shared" si="49"/>
        <v>0</v>
      </c>
      <c r="V243" s="1070">
        <f t="shared" si="50"/>
        <v>0</v>
      </c>
      <c r="W243" s="1070">
        <f t="shared" si="51"/>
        <v>49.157142857142858</v>
      </c>
      <c r="X243" s="463">
        <f t="shared" si="52"/>
        <v>49.157142857142858</v>
      </c>
      <c r="Y243" s="78">
        <f t="shared" si="53"/>
        <v>84</v>
      </c>
      <c r="Z243" s="78"/>
      <c r="AA243" s="78">
        <f t="shared" si="55"/>
        <v>4129.2</v>
      </c>
    </row>
    <row r="244" spans="2:27" hidden="1">
      <c r="B244">
        <v>249</v>
      </c>
      <c r="C244" s="1459">
        <v>45363</v>
      </c>
      <c r="K244" s="77">
        <v>72.14</v>
      </c>
      <c r="L244" s="463">
        <f t="shared" si="56"/>
        <v>72.14</v>
      </c>
      <c r="M244" s="78">
        <v>60</v>
      </c>
      <c r="N244" s="78"/>
      <c r="O244" s="78">
        <f t="shared" si="54"/>
        <v>4328.3999999999996</v>
      </c>
      <c r="P244" s="1070">
        <f t="shared" si="44"/>
        <v>0</v>
      </c>
      <c r="Q244" s="1070">
        <f t="shared" si="45"/>
        <v>0</v>
      </c>
      <c r="R244" s="1070">
        <f t="shared" si="46"/>
        <v>0</v>
      </c>
      <c r="S244" s="1070">
        <f t="shared" si="47"/>
        <v>0</v>
      </c>
      <c r="T244" s="1070">
        <f t="shared" si="48"/>
        <v>0</v>
      </c>
      <c r="U244" s="1070">
        <f t="shared" si="49"/>
        <v>0</v>
      </c>
      <c r="V244" s="1070">
        <f t="shared" si="50"/>
        <v>0</v>
      </c>
      <c r="W244" s="1070">
        <f t="shared" si="51"/>
        <v>51.528571428571432</v>
      </c>
      <c r="X244" s="463">
        <f t="shared" si="52"/>
        <v>51.528571428571432</v>
      </c>
      <c r="Y244" s="78">
        <f t="shared" si="53"/>
        <v>84</v>
      </c>
      <c r="Z244" s="78"/>
      <c r="AA244" s="78">
        <f t="shared" si="55"/>
        <v>4328.4000000000005</v>
      </c>
    </row>
    <row r="245" spans="2:27" hidden="1">
      <c r="B245">
        <v>250</v>
      </c>
      <c r="C245" s="1459">
        <v>45363</v>
      </c>
      <c r="K245" s="77">
        <v>74.8</v>
      </c>
      <c r="L245" s="463">
        <f t="shared" si="56"/>
        <v>74.8</v>
      </c>
      <c r="M245" s="78">
        <v>60</v>
      </c>
      <c r="N245" s="78"/>
      <c r="O245" s="78">
        <f t="shared" si="54"/>
        <v>4488</v>
      </c>
      <c r="P245" s="1070">
        <f t="shared" si="44"/>
        <v>0</v>
      </c>
      <c r="Q245" s="1070">
        <f t="shared" si="45"/>
        <v>0</v>
      </c>
      <c r="R245" s="1070">
        <f t="shared" si="46"/>
        <v>0</v>
      </c>
      <c r="S245" s="1070">
        <f t="shared" si="47"/>
        <v>0</v>
      </c>
      <c r="T245" s="1070">
        <f t="shared" si="48"/>
        <v>0</v>
      </c>
      <c r="U245" s="1070">
        <f t="shared" si="49"/>
        <v>0</v>
      </c>
      <c r="V245" s="1070">
        <f t="shared" si="50"/>
        <v>0</v>
      </c>
      <c r="W245" s="1070">
        <f t="shared" si="51"/>
        <v>53.428571428571431</v>
      </c>
      <c r="X245" s="463">
        <f t="shared" si="52"/>
        <v>53.428571428571431</v>
      </c>
      <c r="Y245" s="78">
        <f t="shared" si="53"/>
        <v>84</v>
      </c>
      <c r="Z245" s="78"/>
      <c r="AA245" s="78">
        <f t="shared" si="55"/>
        <v>4488</v>
      </c>
    </row>
    <row r="246" spans="2:27" hidden="1">
      <c r="B246">
        <v>251</v>
      </c>
      <c r="C246" s="1459">
        <v>45363</v>
      </c>
      <c r="J246" s="77">
        <v>0.7</v>
      </c>
      <c r="L246" s="463">
        <f t="shared" si="56"/>
        <v>0.7</v>
      </c>
      <c r="M246" s="78">
        <v>60</v>
      </c>
      <c r="N246" s="78"/>
      <c r="O246" s="78">
        <f t="shared" si="54"/>
        <v>42</v>
      </c>
      <c r="P246" s="1070">
        <f t="shared" si="44"/>
        <v>0</v>
      </c>
      <c r="Q246" s="1070">
        <f t="shared" si="45"/>
        <v>0</v>
      </c>
      <c r="R246" s="1070">
        <f t="shared" si="46"/>
        <v>0</v>
      </c>
      <c r="S246" s="1070">
        <f t="shared" si="47"/>
        <v>0</v>
      </c>
      <c r="T246" s="1070">
        <f t="shared" si="48"/>
        <v>0</v>
      </c>
      <c r="U246" s="1070">
        <f t="shared" si="49"/>
        <v>0</v>
      </c>
      <c r="V246" s="1070">
        <f t="shared" si="50"/>
        <v>0.5</v>
      </c>
      <c r="W246" s="1070">
        <f t="shared" si="51"/>
        <v>0</v>
      </c>
      <c r="X246" s="463">
        <f t="shared" si="52"/>
        <v>0.5</v>
      </c>
      <c r="Y246" s="78">
        <f t="shared" si="53"/>
        <v>84</v>
      </c>
      <c r="Z246" s="78"/>
      <c r="AA246" s="78">
        <f t="shared" si="55"/>
        <v>42</v>
      </c>
    </row>
    <row r="247" spans="2:27" hidden="1">
      <c r="B247">
        <v>252</v>
      </c>
      <c r="C247" s="1459">
        <v>45363</v>
      </c>
      <c r="K247" s="77">
        <v>72.819999999999993</v>
      </c>
      <c r="L247" s="463">
        <f t="shared" si="56"/>
        <v>72.819999999999993</v>
      </c>
      <c r="M247" s="78">
        <v>60</v>
      </c>
      <c r="N247" s="78"/>
      <c r="O247" s="78">
        <f t="shared" si="54"/>
        <v>4369.2</v>
      </c>
      <c r="P247" s="1070">
        <f t="shared" si="44"/>
        <v>0</v>
      </c>
      <c r="Q247" s="1070">
        <f t="shared" si="45"/>
        <v>0</v>
      </c>
      <c r="R247" s="1070">
        <f t="shared" si="46"/>
        <v>0</v>
      </c>
      <c r="S247" s="1070">
        <f t="shared" si="47"/>
        <v>0</v>
      </c>
      <c r="T247" s="1070">
        <f t="shared" si="48"/>
        <v>0</v>
      </c>
      <c r="U247" s="1070">
        <f t="shared" si="49"/>
        <v>0</v>
      </c>
      <c r="V247" s="1070">
        <f t="shared" si="50"/>
        <v>0</v>
      </c>
      <c r="W247" s="1070">
        <f t="shared" si="51"/>
        <v>52.014285714285712</v>
      </c>
      <c r="X247" s="463">
        <f t="shared" si="52"/>
        <v>52.014285714285712</v>
      </c>
      <c r="Y247" s="78">
        <f t="shared" si="53"/>
        <v>84</v>
      </c>
      <c r="Z247" s="78"/>
      <c r="AA247" s="78">
        <f t="shared" si="55"/>
        <v>4369.2</v>
      </c>
    </row>
    <row r="248" spans="2:27" hidden="1">
      <c r="B248">
        <v>253</v>
      </c>
      <c r="C248" s="1459">
        <v>45363</v>
      </c>
      <c r="J248" s="77">
        <v>75.66</v>
      </c>
      <c r="L248" s="463">
        <f t="shared" si="56"/>
        <v>75.66</v>
      </c>
      <c r="M248" s="78">
        <v>60</v>
      </c>
      <c r="N248" s="78"/>
      <c r="O248" s="78">
        <f t="shared" si="54"/>
        <v>4539.5999999999995</v>
      </c>
      <c r="P248" s="1070">
        <f t="shared" si="44"/>
        <v>0</v>
      </c>
      <c r="Q248" s="1070">
        <f t="shared" si="45"/>
        <v>0</v>
      </c>
      <c r="R248" s="1070">
        <f t="shared" si="46"/>
        <v>0</v>
      </c>
      <c r="S248" s="1070">
        <f t="shared" si="47"/>
        <v>0</v>
      </c>
      <c r="T248" s="1070">
        <f t="shared" si="48"/>
        <v>0</v>
      </c>
      <c r="U248" s="1070">
        <f t="shared" si="49"/>
        <v>0</v>
      </c>
      <c r="V248" s="1070">
        <f t="shared" si="50"/>
        <v>54.042857142857144</v>
      </c>
      <c r="W248" s="1070">
        <f t="shared" si="51"/>
        <v>0</v>
      </c>
      <c r="X248" s="463">
        <f t="shared" si="52"/>
        <v>54.042857142857144</v>
      </c>
      <c r="Y248" s="78">
        <f t="shared" si="53"/>
        <v>84</v>
      </c>
      <c r="Z248" s="78"/>
      <c r="AA248" s="78">
        <f t="shared" si="55"/>
        <v>4539.6000000000004</v>
      </c>
    </row>
    <row r="249" spans="2:27" hidden="1">
      <c r="B249">
        <v>254</v>
      </c>
      <c r="C249" s="1459">
        <v>45363</v>
      </c>
      <c r="J249" s="77">
        <v>75.739999999999995</v>
      </c>
      <c r="L249" s="463">
        <f t="shared" si="56"/>
        <v>75.739999999999995</v>
      </c>
      <c r="M249" s="78">
        <v>60</v>
      </c>
      <c r="N249" s="78"/>
      <c r="O249" s="78">
        <f t="shared" si="54"/>
        <v>4544.3999999999996</v>
      </c>
      <c r="P249" s="1070">
        <f t="shared" si="44"/>
        <v>0</v>
      </c>
      <c r="Q249" s="1070">
        <f t="shared" si="45"/>
        <v>0</v>
      </c>
      <c r="R249" s="1070">
        <f t="shared" si="46"/>
        <v>0</v>
      </c>
      <c r="S249" s="1070">
        <f t="shared" si="47"/>
        <v>0</v>
      </c>
      <c r="T249" s="1070">
        <f t="shared" si="48"/>
        <v>0</v>
      </c>
      <c r="U249" s="1070">
        <f t="shared" si="49"/>
        <v>0</v>
      </c>
      <c r="V249" s="1070">
        <f t="shared" si="50"/>
        <v>54.1</v>
      </c>
      <c r="W249" s="1070">
        <f t="shared" si="51"/>
        <v>0</v>
      </c>
      <c r="X249" s="463">
        <f t="shared" si="52"/>
        <v>54.1</v>
      </c>
      <c r="Y249" s="78">
        <f t="shared" si="53"/>
        <v>84</v>
      </c>
      <c r="Z249" s="78"/>
      <c r="AA249" s="78">
        <f t="shared" si="55"/>
        <v>4544.4000000000005</v>
      </c>
    </row>
    <row r="250" spans="2:27" hidden="1">
      <c r="B250">
        <v>255</v>
      </c>
      <c r="C250" s="1459">
        <v>45363</v>
      </c>
      <c r="J250" s="77">
        <v>75.099999999999994</v>
      </c>
      <c r="L250" s="463">
        <f t="shared" si="56"/>
        <v>75.099999999999994</v>
      </c>
      <c r="M250" s="78">
        <v>60</v>
      </c>
      <c r="N250" s="78"/>
      <c r="O250" s="78">
        <f t="shared" si="54"/>
        <v>4506</v>
      </c>
      <c r="P250" s="1070">
        <f t="shared" si="44"/>
        <v>0</v>
      </c>
      <c r="Q250" s="1070">
        <f t="shared" si="45"/>
        <v>0</v>
      </c>
      <c r="R250" s="1070">
        <f t="shared" si="46"/>
        <v>0</v>
      </c>
      <c r="S250" s="1070">
        <f t="shared" si="47"/>
        <v>0</v>
      </c>
      <c r="T250" s="1070">
        <f t="shared" si="48"/>
        <v>0</v>
      </c>
      <c r="U250" s="1070">
        <f t="shared" si="49"/>
        <v>0</v>
      </c>
      <c r="V250" s="1070">
        <f t="shared" si="50"/>
        <v>53.642857142857139</v>
      </c>
      <c r="W250" s="1070">
        <f t="shared" si="51"/>
        <v>0</v>
      </c>
      <c r="X250" s="463">
        <f t="shared" si="52"/>
        <v>53.642857142857139</v>
      </c>
      <c r="Y250" s="78">
        <f t="shared" si="53"/>
        <v>84</v>
      </c>
      <c r="Z250" s="78"/>
      <c r="AA250" s="78">
        <f t="shared" si="55"/>
        <v>4506</v>
      </c>
    </row>
    <row r="251" spans="2:27" hidden="1">
      <c r="B251">
        <v>256</v>
      </c>
      <c r="C251" s="1459">
        <v>45363</v>
      </c>
      <c r="J251" s="77">
        <v>70.819999999999993</v>
      </c>
      <c r="L251" s="463">
        <f t="shared" si="56"/>
        <v>70.819999999999993</v>
      </c>
      <c r="M251" s="78">
        <v>60</v>
      </c>
      <c r="N251" s="78"/>
      <c r="O251" s="78">
        <f t="shared" si="54"/>
        <v>4249.2</v>
      </c>
      <c r="P251" s="1070">
        <f t="shared" si="44"/>
        <v>0</v>
      </c>
      <c r="Q251" s="1070">
        <f t="shared" si="45"/>
        <v>0</v>
      </c>
      <c r="R251" s="1070">
        <f t="shared" si="46"/>
        <v>0</v>
      </c>
      <c r="S251" s="1070">
        <f t="shared" si="47"/>
        <v>0</v>
      </c>
      <c r="T251" s="1070">
        <f t="shared" si="48"/>
        <v>0</v>
      </c>
      <c r="U251" s="1070">
        <f t="shared" si="49"/>
        <v>0</v>
      </c>
      <c r="V251" s="1070">
        <f t="shared" si="50"/>
        <v>50.585714285714282</v>
      </c>
      <c r="W251" s="1070">
        <f t="shared" si="51"/>
        <v>0</v>
      </c>
      <c r="X251" s="463">
        <f t="shared" si="52"/>
        <v>50.585714285714282</v>
      </c>
      <c r="Y251" s="78">
        <f t="shared" si="53"/>
        <v>84</v>
      </c>
      <c r="Z251" s="78"/>
      <c r="AA251" s="78">
        <f t="shared" si="55"/>
        <v>4249.2</v>
      </c>
    </row>
    <row r="252" spans="2:27" hidden="1">
      <c r="B252">
        <v>257</v>
      </c>
      <c r="C252" s="1459">
        <v>45363</v>
      </c>
      <c r="J252" s="77">
        <v>70.34</v>
      </c>
      <c r="L252" s="463">
        <f t="shared" si="56"/>
        <v>70.34</v>
      </c>
      <c r="M252" s="78">
        <v>60</v>
      </c>
      <c r="N252" s="78"/>
      <c r="O252" s="78">
        <f t="shared" si="54"/>
        <v>4220.4000000000005</v>
      </c>
      <c r="P252" s="1070">
        <f t="shared" si="44"/>
        <v>0</v>
      </c>
      <c r="Q252" s="1070">
        <f t="shared" si="45"/>
        <v>0</v>
      </c>
      <c r="R252" s="1070">
        <f t="shared" si="46"/>
        <v>0</v>
      </c>
      <c r="S252" s="1070">
        <f t="shared" si="47"/>
        <v>0</v>
      </c>
      <c r="T252" s="1070">
        <f t="shared" si="48"/>
        <v>0</v>
      </c>
      <c r="U252" s="1070">
        <f t="shared" si="49"/>
        <v>0</v>
      </c>
      <c r="V252" s="1070">
        <f t="shared" si="50"/>
        <v>50.242857142857147</v>
      </c>
      <c r="W252" s="1070">
        <f t="shared" si="51"/>
        <v>0</v>
      </c>
      <c r="X252" s="463">
        <f t="shared" si="52"/>
        <v>50.242857142857147</v>
      </c>
      <c r="Y252" s="78">
        <f t="shared" si="53"/>
        <v>84</v>
      </c>
      <c r="Z252" s="78"/>
      <c r="AA252" s="78">
        <f t="shared" si="55"/>
        <v>4220.4000000000005</v>
      </c>
    </row>
    <row r="253" spans="2:27" hidden="1">
      <c r="B253">
        <v>258</v>
      </c>
      <c r="C253" s="1459">
        <v>45363</v>
      </c>
      <c r="J253" s="77">
        <v>74.3</v>
      </c>
      <c r="L253" s="463">
        <f t="shared" si="56"/>
        <v>74.3</v>
      </c>
      <c r="M253" s="78">
        <v>60</v>
      </c>
      <c r="N253" s="78"/>
      <c r="O253" s="78">
        <f t="shared" si="54"/>
        <v>4458</v>
      </c>
      <c r="P253" s="1070">
        <f t="shared" si="44"/>
        <v>0</v>
      </c>
      <c r="Q253" s="1070">
        <f t="shared" si="45"/>
        <v>0</v>
      </c>
      <c r="R253" s="1070">
        <f t="shared" si="46"/>
        <v>0</v>
      </c>
      <c r="S253" s="1070">
        <f t="shared" si="47"/>
        <v>0</v>
      </c>
      <c r="T253" s="1070">
        <f t="shared" si="48"/>
        <v>0</v>
      </c>
      <c r="U253" s="1070">
        <f t="shared" si="49"/>
        <v>0</v>
      </c>
      <c r="V253" s="1070">
        <f t="shared" si="50"/>
        <v>53.071428571428569</v>
      </c>
      <c r="W253" s="1070">
        <f t="shared" si="51"/>
        <v>0</v>
      </c>
      <c r="X253" s="463">
        <f t="shared" si="52"/>
        <v>53.071428571428569</v>
      </c>
      <c r="Y253" s="78">
        <f t="shared" si="53"/>
        <v>84</v>
      </c>
      <c r="Z253" s="78"/>
      <c r="AA253" s="78">
        <f t="shared" si="55"/>
        <v>4458</v>
      </c>
    </row>
    <row r="254" spans="2:27" hidden="1">
      <c r="B254">
        <v>259</v>
      </c>
      <c r="C254" s="1459">
        <v>45363</v>
      </c>
      <c r="J254" s="77">
        <v>59.66</v>
      </c>
      <c r="L254" s="463">
        <f t="shared" si="56"/>
        <v>59.66</v>
      </c>
      <c r="M254" s="78">
        <v>60</v>
      </c>
      <c r="N254" s="78"/>
      <c r="O254" s="78">
        <f t="shared" si="54"/>
        <v>3579.6</v>
      </c>
      <c r="P254" s="1070">
        <f t="shared" si="44"/>
        <v>0</v>
      </c>
      <c r="Q254" s="1070">
        <f t="shared" si="45"/>
        <v>0</v>
      </c>
      <c r="R254" s="1070">
        <f t="shared" si="46"/>
        <v>0</v>
      </c>
      <c r="S254" s="1070">
        <f t="shared" si="47"/>
        <v>0</v>
      </c>
      <c r="T254" s="1070">
        <f t="shared" si="48"/>
        <v>0</v>
      </c>
      <c r="U254" s="1070">
        <f t="shared" si="49"/>
        <v>0</v>
      </c>
      <c r="V254" s="1070">
        <f t="shared" si="50"/>
        <v>42.614285714285714</v>
      </c>
      <c r="W254" s="1070">
        <f t="shared" si="51"/>
        <v>0</v>
      </c>
      <c r="X254" s="463">
        <f t="shared" si="52"/>
        <v>42.614285714285714</v>
      </c>
      <c r="Y254" s="78">
        <f t="shared" si="53"/>
        <v>84</v>
      </c>
      <c r="Z254" s="78"/>
      <c r="AA254" s="78">
        <f t="shared" si="55"/>
        <v>3579.6</v>
      </c>
    </row>
    <row r="255" spans="2:27" hidden="1">
      <c r="B255">
        <v>260</v>
      </c>
      <c r="C255" s="1459">
        <v>45399</v>
      </c>
      <c r="F255" s="77">
        <v>20.2</v>
      </c>
      <c r="L255" s="463">
        <f t="shared" si="56"/>
        <v>20.2</v>
      </c>
      <c r="M255" s="78">
        <v>60</v>
      </c>
      <c r="O255" s="78">
        <f t="shared" si="54"/>
        <v>1212</v>
      </c>
      <c r="R255" s="1070">
        <f>(F255/$O$6)</f>
        <v>14.428571428571429</v>
      </c>
      <c r="V255" s="1070">
        <f>(J255/$O$6)</f>
        <v>0</v>
      </c>
      <c r="X255" s="463">
        <f t="shared" si="52"/>
        <v>14.428571428571429</v>
      </c>
      <c r="Y255" s="78">
        <f t="shared" si="53"/>
        <v>84</v>
      </c>
      <c r="AA255" s="78">
        <f>(X255*Y255)</f>
        <v>1212</v>
      </c>
    </row>
    <row r="256" spans="2:27" hidden="1">
      <c r="B256">
        <v>261</v>
      </c>
      <c r="C256" s="1459">
        <v>45411</v>
      </c>
      <c r="J256" s="77">
        <v>71.88</v>
      </c>
      <c r="L256" s="463">
        <f t="shared" si="56"/>
        <v>71.88</v>
      </c>
      <c r="M256" s="78">
        <v>60</v>
      </c>
      <c r="O256" s="78">
        <f t="shared" si="54"/>
        <v>4312.7999999999993</v>
      </c>
      <c r="V256" s="1070">
        <f>(J256/$O$6)</f>
        <v>51.342857142857142</v>
      </c>
      <c r="X256" s="463">
        <f t="shared" si="52"/>
        <v>51.342857142857142</v>
      </c>
      <c r="Y256" s="78">
        <f t="shared" si="53"/>
        <v>84</v>
      </c>
      <c r="AA256" s="78">
        <f t="shared" ref="AA256:AA258" si="57">(X256*Y256)</f>
        <v>4312.8</v>
      </c>
    </row>
    <row r="257" spans="2:27" hidden="1">
      <c r="B257">
        <v>262</v>
      </c>
      <c r="C257" s="1459">
        <v>45411</v>
      </c>
      <c r="J257" s="77">
        <v>71.66</v>
      </c>
      <c r="L257" s="463">
        <f t="shared" si="56"/>
        <v>71.66</v>
      </c>
      <c r="M257" s="78">
        <v>60</v>
      </c>
      <c r="O257" s="78">
        <f t="shared" si="54"/>
        <v>4299.5999999999995</v>
      </c>
      <c r="V257" s="1070">
        <f>(J257/$O$6)</f>
        <v>51.185714285714283</v>
      </c>
      <c r="X257" s="463">
        <f t="shared" si="52"/>
        <v>51.185714285714283</v>
      </c>
      <c r="Y257" s="78">
        <f t="shared" si="53"/>
        <v>84</v>
      </c>
      <c r="AA257" s="78">
        <f t="shared" si="57"/>
        <v>4299.5999999999995</v>
      </c>
    </row>
    <row r="258" spans="2:27" hidden="1">
      <c r="B258">
        <v>263</v>
      </c>
      <c r="C258" s="1459">
        <v>45414</v>
      </c>
      <c r="J258" s="77">
        <v>53.64</v>
      </c>
      <c r="L258" s="463">
        <f t="shared" si="56"/>
        <v>53.64</v>
      </c>
      <c r="M258" s="78">
        <v>60</v>
      </c>
      <c r="O258" s="78">
        <f t="shared" si="54"/>
        <v>3218.4</v>
      </c>
      <c r="V258" s="79">
        <f>(J258/$O$6)</f>
        <v>38.314285714285717</v>
      </c>
      <c r="X258" s="463">
        <f t="shared" si="52"/>
        <v>38.314285714285717</v>
      </c>
      <c r="Y258" s="78">
        <f t="shared" si="53"/>
        <v>84</v>
      </c>
      <c r="AA258" s="78">
        <f t="shared" si="57"/>
        <v>3218.4</v>
      </c>
    </row>
  </sheetData>
  <autoFilter ref="B8:AA258" xr:uid="{0E177246-EEF8-4B2E-ACD5-EE72B033A581}">
    <filterColumn colId="1">
      <filters>
        <dateGroupItem year="2023" dateTimeGrouping="year"/>
        <dateGroupItem year="2022" dateTimeGrouping="year"/>
        <dateGroupItem year="2021" dateTimeGrouping="year"/>
      </filters>
    </filterColumn>
  </autoFilter>
  <conditionalFormatting sqref="P9:W254 V255:V257">
    <cfRule type="cellIs" dxfId="1" priority="2" operator="equal">
      <formula>0</formula>
    </cfRule>
  </conditionalFormatting>
  <conditionalFormatting sqref="R255">
    <cfRule type="cellIs" dxfId="0" priority="1" operator="equal">
      <formula>0</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4CD1-F83B-4C7B-9A03-7CD6B5284E4D}">
  <sheetPr>
    <tabColor rgb="FFFFFF00"/>
  </sheetPr>
  <dimension ref="A1:S148"/>
  <sheetViews>
    <sheetView workbookViewId="0">
      <selection activeCell="E7" sqref="E7"/>
    </sheetView>
  </sheetViews>
  <sheetFormatPr baseColWidth="10" defaultRowHeight="15"/>
  <cols>
    <col min="1" max="1" width="16.42578125" customWidth="1"/>
    <col min="2" max="2" width="17.7109375" customWidth="1"/>
    <col min="3" max="3" width="11.140625" bestFit="1" customWidth="1"/>
    <col min="4" max="4" width="9" style="77" customWidth="1"/>
    <col min="5" max="5" width="33.42578125" style="77" customWidth="1"/>
    <col min="6" max="6" width="5" customWidth="1"/>
    <col min="13" max="13" width="16.140625" customWidth="1"/>
    <col min="17" max="17" width="16.7109375" bestFit="1" customWidth="1"/>
  </cols>
  <sheetData>
    <row r="1" spans="1:11" ht="15.75" thickBot="1">
      <c r="B1" s="1533">
        <f>(24.26+9481.4)/1.4</f>
        <v>6789.7571428571428</v>
      </c>
      <c r="C1" s="1545"/>
      <c r="D1" s="1545"/>
      <c r="E1" s="1545"/>
      <c r="G1" s="1464">
        <f>SUM(J2:K2)</f>
        <v>6789.7571428571455</v>
      </c>
    </row>
    <row r="2" spans="1:11" ht="15.75" thickBot="1">
      <c r="C2" t="s">
        <v>569</v>
      </c>
      <c r="D2" s="77" t="s">
        <v>997</v>
      </c>
      <c r="G2" s="1465">
        <f>SUM(H2:I2)</f>
        <v>9505.6600000000108</v>
      </c>
      <c r="H2" s="1466">
        <f>SUBTOTAL(9,H4:H135)</f>
        <v>24.26</v>
      </c>
      <c r="I2" s="1466">
        <f>SUBTOTAL(9,I4:I135)</f>
        <v>9481.4000000000106</v>
      </c>
      <c r="J2" s="1466">
        <f>SUBTOTAL(9,J4:J135)</f>
        <v>17.328571428571429</v>
      </c>
      <c r="K2" s="1467">
        <f>SUBTOTAL(9,K4:K135)</f>
        <v>6772.4285714285743</v>
      </c>
    </row>
    <row r="3" spans="1:11" ht="30">
      <c r="A3" s="1546" t="s">
        <v>989</v>
      </c>
      <c r="B3" s="1547">
        <f>SUM(B6:B7)</f>
        <v>9505.6600000000089</v>
      </c>
      <c r="C3" s="480">
        <f>(D3*B3)</f>
        <v>475283.00000000047</v>
      </c>
      <c r="D3" s="480">
        <v>50</v>
      </c>
      <c r="E3" s="1548" t="s">
        <v>992</v>
      </c>
      <c r="F3" s="1468" t="s">
        <v>0</v>
      </c>
      <c r="G3" s="1469" t="s">
        <v>57</v>
      </c>
      <c r="H3" s="1470" t="s">
        <v>977</v>
      </c>
      <c r="I3" s="1470" t="s">
        <v>978</v>
      </c>
      <c r="J3" s="1470" t="s">
        <v>979</v>
      </c>
      <c r="K3" s="1471" t="s">
        <v>980</v>
      </c>
    </row>
    <row r="4" spans="1:11">
      <c r="A4" s="1294"/>
      <c r="B4" s="1294"/>
      <c r="C4" s="480"/>
      <c r="D4" s="480"/>
      <c r="E4" s="1070"/>
      <c r="F4" s="1542">
        <v>1</v>
      </c>
      <c r="G4" s="1543">
        <v>45427</v>
      </c>
      <c r="H4" s="1544"/>
      <c r="I4" s="1544">
        <v>72</v>
      </c>
      <c r="J4" s="1018"/>
      <c r="K4" s="1475">
        <f>I4/1.4</f>
        <v>51.428571428571431</v>
      </c>
    </row>
    <row r="5" spans="1:11">
      <c r="A5" s="1294"/>
      <c r="B5" s="1294"/>
      <c r="C5" s="1294"/>
      <c r="D5" s="1539"/>
      <c r="E5" s="1070"/>
      <c r="F5" s="1542">
        <v>2</v>
      </c>
      <c r="G5" s="1543">
        <v>45427</v>
      </c>
      <c r="H5" s="1544"/>
      <c r="I5" s="1544">
        <v>72.02</v>
      </c>
      <c r="J5" s="1018"/>
      <c r="K5" s="1475">
        <f t="shared" ref="K5:K68" si="0">I5/1.4</f>
        <v>51.442857142857143</v>
      </c>
    </row>
    <row r="6" spans="1:11" ht="27" customHeight="1">
      <c r="A6" s="1294" t="s">
        <v>991</v>
      </c>
      <c r="B6" s="1541">
        <f>SUM(I36:I134)+H135</f>
        <v>7187.6400000000094</v>
      </c>
      <c r="C6" s="480">
        <v>132000</v>
      </c>
      <c r="D6" s="480">
        <f>(C6/B6)</f>
        <v>18.364859675776724</v>
      </c>
      <c r="E6" s="1548" t="s">
        <v>993</v>
      </c>
      <c r="F6" s="1542">
        <v>3</v>
      </c>
      <c r="G6" s="1543">
        <v>45427</v>
      </c>
      <c r="H6" s="1544"/>
      <c r="I6" s="1544">
        <v>72</v>
      </c>
      <c r="J6" s="1018"/>
      <c r="K6" s="1475">
        <f t="shared" si="0"/>
        <v>51.428571428571431</v>
      </c>
    </row>
    <row r="7" spans="1:11" ht="45">
      <c r="A7" s="1294" t="s">
        <v>990</v>
      </c>
      <c r="B7" s="1541">
        <f>SUM(I4:I35)</f>
        <v>2318.02</v>
      </c>
      <c r="C7" s="1294"/>
      <c r="D7" s="1539"/>
      <c r="E7" s="1540" t="s">
        <v>994</v>
      </c>
      <c r="F7" s="1542">
        <v>4</v>
      </c>
      <c r="G7" s="1543">
        <v>45427</v>
      </c>
      <c r="H7" s="1544"/>
      <c r="I7" s="1544">
        <v>74.239999999999995</v>
      </c>
      <c r="J7" s="1018"/>
      <c r="K7" s="1475">
        <f t="shared" si="0"/>
        <v>53.028571428571425</v>
      </c>
    </row>
    <row r="8" spans="1:11">
      <c r="A8" s="1294"/>
      <c r="B8" s="1294"/>
      <c r="C8" s="1549">
        <f>(C3-C6)</f>
        <v>343283.00000000047</v>
      </c>
      <c r="D8" s="1550">
        <f>(D3-D6)/D6</f>
        <v>1.7225909090909128</v>
      </c>
      <c r="E8" s="1551" t="s">
        <v>995</v>
      </c>
      <c r="F8" s="1542">
        <v>5</v>
      </c>
      <c r="G8" s="1543">
        <v>45427</v>
      </c>
      <c r="H8" s="1544"/>
      <c r="I8" s="1544">
        <v>72</v>
      </c>
      <c r="J8" s="1018"/>
      <c r="K8" s="1475">
        <f t="shared" si="0"/>
        <v>51.428571428571431</v>
      </c>
    </row>
    <row r="9" spans="1:11">
      <c r="A9" s="1294"/>
      <c r="B9" s="1294"/>
      <c r="C9" s="1294"/>
      <c r="D9" s="1539"/>
      <c r="E9" s="1539"/>
      <c r="F9" s="1542">
        <v>6</v>
      </c>
      <c r="G9" s="1543">
        <v>45427</v>
      </c>
      <c r="H9" s="1544"/>
      <c r="I9" s="1544">
        <v>72</v>
      </c>
      <c r="J9" s="1018"/>
      <c r="K9" s="1475">
        <f t="shared" si="0"/>
        <v>51.428571428571431</v>
      </c>
    </row>
    <row r="10" spans="1:11" ht="45">
      <c r="A10" s="1294"/>
      <c r="B10" s="1294"/>
      <c r="C10" s="1549">
        <v>40000</v>
      </c>
      <c r="D10" s="1539"/>
      <c r="E10" s="1538" t="s">
        <v>996</v>
      </c>
      <c r="F10" s="1542">
        <v>7</v>
      </c>
      <c r="G10" s="1543">
        <v>45427</v>
      </c>
      <c r="H10" s="1544"/>
      <c r="I10" s="1544">
        <v>72</v>
      </c>
      <c r="J10" s="1018"/>
      <c r="K10" s="1475">
        <f t="shared" si="0"/>
        <v>51.428571428571431</v>
      </c>
    </row>
    <row r="11" spans="1:11">
      <c r="F11" s="1542">
        <v>8</v>
      </c>
      <c r="G11" s="1543">
        <v>45427</v>
      </c>
      <c r="H11" s="1544"/>
      <c r="I11" s="1544">
        <v>72.040000000000006</v>
      </c>
      <c r="J11" s="1018"/>
      <c r="K11" s="1475">
        <f t="shared" si="0"/>
        <v>51.457142857142863</v>
      </c>
    </row>
    <row r="12" spans="1:11">
      <c r="F12" s="1542">
        <v>9</v>
      </c>
      <c r="G12" s="1543">
        <v>45427</v>
      </c>
      <c r="H12" s="1544"/>
      <c r="I12" s="1544">
        <v>72</v>
      </c>
      <c r="J12" s="1018"/>
      <c r="K12" s="1475">
        <f t="shared" si="0"/>
        <v>51.428571428571431</v>
      </c>
    </row>
    <row r="13" spans="1:11">
      <c r="F13" s="1542">
        <v>10</v>
      </c>
      <c r="G13" s="1543">
        <v>45427</v>
      </c>
      <c r="H13" s="1544"/>
      <c r="I13" s="1544">
        <v>72.040000000000006</v>
      </c>
      <c r="J13" s="1018"/>
      <c r="K13" s="1475">
        <f t="shared" si="0"/>
        <v>51.457142857142863</v>
      </c>
    </row>
    <row r="14" spans="1:11">
      <c r="F14" s="1542">
        <v>11</v>
      </c>
      <c r="G14" s="1543">
        <v>45427</v>
      </c>
      <c r="H14" s="1544"/>
      <c r="I14" s="1544">
        <v>74.180000000000007</v>
      </c>
      <c r="J14" s="1018"/>
      <c r="K14" s="1475">
        <f t="shared" si="0"/>
        <v>52.985714285714295</v>
      </c>
    </row>
    <row r="15" spans="1:11">
      <c r="F15" s="1542">
        <v>12</v>
      </c>
      <c r="G15" s="1543">
        <v>45427</v>
      </c>
      <c r="H15" s="1544"/>
      <c r="I15" s="1544">
        <v>72</v>
      </c>
      <c r="J15" s="1018"/>
      <c r="K15" s="1475">
        <f t="shared" si="0"/>
        <v>51.428571428571431</v>
      </c>
    </row>
    <row r="16" spans="1:11">
      <c r="F16" s="1542">
        <v>13</v>
      </c>
      <c r="G16" s="1543">
        <v>45427</v>
      </c>
      <c r="H16" s="1544"/>
      <c r="I16" s="1544">
        <v>72</v>
      </c>
      <c r="J16" s="1018"/>
      <c r="K16" s="1475">
        <f t="shared" si="0"/>
        <v>51.428571428571431</v>
      </c>
    </row>
    <row r="17" spans="6:11">
      <c r="F17" s="1542">
        <v>14</v>
      </c>
      <c r="G17" s="1543">
        <v>45427</v>
      </c>
      <c r="H17" s="1544"/>
      <c r="I17" s="1544">
        <v>72.38</v>
      </c>
      <c r="J17" s="1018"/>
      <c r="K17" s="1475">
        <f t="shared" si="0"/>
        <v>51.7</v>
      </c>
    </row>
    <row r="18" spans="6:11">
      <c r="F18" s="1542">
        <v>15</v>
      </c>
      <c r="G18" s="1543">
        <v>45427</v>
      </c>
      <c r="H18" s="1544"/>
      <c r="I18" s="1544">
        <v>72</v>
      </c>
      <c r="J18" s="1018"/>
      <c r="K18" s="1475">
        <f t="shared" si="0"/>
        <v>51.428571428571431</v>
      </c>
    </row>
    <row r="19" spans="6:11">
      <c r="F19" s="1542">
        <v>16</v>
      </c>
      <c r="G19" s="1543">
        <v>45427</v>
      </c>
      <c r="H19" s="1544"/>
      <c r="I19" s="1544">
        <v>73.099999999999994</v>
      </c>
      <c r="J19" s="1018"/>
      <c r="K19" s="1475">
        <f t="shared" si="0"/>
        <v>52.214285714285715</v>
      </c>
    </row>
    <row r="20" spans="6:11">
      <c r="F20" s="1542">
        <v>17</v>
      </c>
      <c r="G20" s="1543">
        <v>45427</v>
      </c>
      <c r="H20" s="1544"/>
      <c r="I20" s="1544">
        <v>72</v>
      </c>
      <c r="J20" s="1018"/>
      <c r="K20" s="1475">
        <f t="shared" si="0"/>
        <v>51.428571428571431</v>
      </c>
    </row>
    <row r="21" spans="6:11">
      <c r="F21" s="1542">
        <v>18</v>
      </c>
      <c r="G21" s="1543">
        <v>45427</v>
      </c>
      <c r="H21" s="1544"/>
      <c r="I21" s="1544">
        <v>72.88</v>
      </c>
      <c r="J21" s="1018"/>
      <c r="K21" s="1475">
        <f t="shared" si="0"/>
        <v>52.057142857142857</v>
      </c>
    </row>
    <row r="22" spans="6:11">
      <c r="F22" s="1542">
        <v>19</v>
      </c>
      <c r="G22" s="1543">
        <v>45427</v>
      </c>
      <c r="H22" s="1544"/>
      <c r="I22" s="1544">
        <v>73.040000000000006</v>
      </c>
      <c r="J22" s="1018"/>
      <c r="K22" s="1475">
        <f t="shared" si="0"/>
        <v>52.171428571428578</v>
      </c>
    </row>
    <row r="23" spans="6:11">
      <c r="F23" s="1542">
        <v>20</v>
      </c>
      <c r="G23" s="1543">
        <v>45427</v>
      </c>
      <c r="H23" s="1544"/>
      <c r="I23" s="1544">
        <v>72</v>
      </c>
      <c r="J23" s="1018"/>
      <c r="K23" s="1475">
        <f t="shared" si="0"/>
        <v>51.428571428571431</v>
      </c>
    </row>
    <row r="24" spans="6:11">
      <c r="F24" s="1542">
        <v>21</v>
      </c>
      <c r="G24" s="1543">
        <v>45427</v>
      </c>
      <c r="H24" s="1544"/>
      <c r="I24" s="1544">
        <v>72</v>
      </c>
      <c r="J24" s="1018"/>
      <c r="K24" s="1475">
        <f t="shared" si="0"/>
        <v>51.428571428571431</v>
      </c>
    </row>
    <row r="25" spans="6:11">
      <c r="F25" s="1542">
        <v>22</v>
      </c>
      <c r="G25" s="1543">
        <v>45427</v>
      </c>
      <c r="H25" s="1544"/>
      <c r="I25" s="1544">
        <v>73.28</v>
      </c>
      <c r="J25" s="1018"/>
      <c r="K25" s="1475">
        <f t="shared" si="0"/>
        <v>52.342857142857149</v>
      </c>
    </row>
    <row r="26" spans="6:11">
      <c r="F26" s="1542">
        <v>23</v>
      </c>
      <c r="G26" s="1543">
        <v>45427</v>
      </c>
      <c r="H26" s="1544"/>
      <c r="I26" s="1544">
        <v>72.2</v>
      </c>
      <c r="J26" s="1018"/>
      <c r="K26" s="1475">
        <f t="shared" si="0"/>
        <v>51.571428571428577</v>
      </c>
    </row>
    <row r="27" spans="6:11">
      <c r="F27" s="1542">
        <v>24</v>
      </c>
      <c r="G27" s="1543">
        <v>45427</v>
      </c>
      <c r="H27" s="1544"/>
      <c r="I27" s="1544">
        <v>74.599999999999994</v>
      </c>
      <c r="J27" s="1018"/>
      <c r="K27" s="1475">
        <f t="shared" si="0"/>
        <v>53.285714285714285</v>
      </c>
    </row>
    <row r="28" spans="6:11">
      <c r="F28" s="1542">
        <v>25</v>
      </c>
      <c r="G28" s="1543">
        <v>45427</v>
      </c>
      <c r="H28" s="1544"/>
      <c r="I28" s="1544">
        <v>72</v>
      </c>
      <c r="J28" s="1018"/>
      <c r="K28" s="1475">
        <f t="shared" si="0"/>
        <v>51.428571428571431</v>
      </c>
    </row>
    <row r="29" spans="6:11">
      <c r="F29" s="1542">
        <v>26</v>
      </c>
      <c r="G29" s="1543">
        <v>45427</v>
      </c>
      <c r="H29" s="1544"/>
      <c r="I29" s="1544">
        <v>72.459999999999994</v>
      </c>
      <c r="J29" s="1018"/>
      <c r="K29" s="1475">
        <f t="shared" si="0"/>
        <v>51.757142857142853</v>
      </c>
    </row>
    <row r="30" spans="6:11">
      <c r="F30" s="1542">
        <v>27</v>
      </c>
      <c r="G30" s="1543">
        <v>45427</v>
      </c>
      <c r="H30" s="1544"/>
      <c r="I30" s="1544">
        <v>72</v>
      </c>
      <c r="J30" s="1018"/>
      <c r="K30" s="1475">
        <f t="shared" si="0"/>
        <v>51.428571428571431</v>
      </c>
    </row>
    <row r="31" spans="6:11">
      <c r="F31" s="1542">
        <v>28</v>
      </c>
      <c r="G31" s="1543">
        <v>45427</v>
      </c>
      <c r="H31" s="1544"/>
      <c r="I31" s="1544">
        <v>72</v>
      </c>
      <c r="J31" s="1018"/>
      <c r="K31" s="1475">
        <f t="shared" si="0"/>
        <v>51.428571428571431</v>
      </c>
    </row>
    <row r="32" spans="6:11">
      <c r="F32" s="1542">
        <v>29</v>
      </c>
      <c r="G32" s="1543">
        <v>45427</v>
      </c>
      <c r="H32" s="1544"/>
      <c r="I32" s="1544">
        <v>72.02</v>
      </c>
      <c r="J32" s="1018"/>
      <c r="K32" s="1475">
        <f t="shared" si="0"/>
        <v>51.442857142857143</v>
      </c>
    </row>
    <row r="33" spans="6:11">
      <c r="F33" s="1542">
        <v>30</v>
      </c>
      <c r="G33" s="1543">
        <v>45427</v>
      </c>
      <c r="H33" s="1544"/>
      <c r="I33" s="1544">
        <v>72.540000000000006</v>
      </c>
      <c r="J33" s="1018"/>
      <c r="K33" s="1475">
        <f t="shared" si="0"/>
        <v>51.814285714285724</v>
      </c>
    </row>
    <row r="34" spans="6:11">
      <c r="F34" s="1542">
        <v>31</v>
      </c>
      <c r="G34" s="1543">
        <v>45427</v>
      </c>
      <c r="H34" s="1544"/>
      <c r="I34" s="1544">
        <v>72.98</v>
      </c>
      <c r="J34" s="1018"/>
      <c r="K34" s="1475">
        <f t="shared" si="0"/>
        <v>52.128571428571433</v>
      </c>
    </row>
    <row r="35" spans="6:11">
      <c r="F35" s="1542">
        <v>32</v>
      </c>
      <c r="G35" s="1543">
        <v>45427</v>
      </c>
      <c r="H35" s="1544"/>
      <c r="I35" s="1544">
        <v>72.02</v>
      </c>
      <c r="J35" s="1018"/>
      <c r="K35" s="1475">
        <f t="shared" si="0"/>
        <v>51.442857142857143</v>
      </c>
    </row>
    <row r="36" spans="6:11">
      <c r="F36" s="1472">
        <v>33</v>
      </c>
      <c r="G36" s="1473">
        <v>45427</v>
      </c>
      <c r="H36" s="1474"/>
      <c r="I36" s="1474">
        <v>72.62</v>
      </c>
      <c r="J36" s="1018"/>
      <c r="K36" s="1475">
        <f t="shared" si="0"/>
        <v>51.871428571428581</v>
      </c>
    </row>
    <row r="37" spans="6:11">
      <c r="F37" s="1472">
        <v>34</v>
      </c>
      <c r="G37" s="1473">
        <v>45427</v>
      </c>
      <c r="H37" s="1474"/>
      <c r="I37" s="1474">
        <v>72</v>
      </c>
      <c r="J37" s="1018"/>
      <c r="K37" s="1475">
        <f t="shared" si="0"/>
        <v>51.428571428571431</v>
      </c>
    </row>
    <row r="38" spans="6:11">
      <c r="F38" s="1472">
        <v>35</v>
      </c>
      <c r="G38" s="1473">
        <v>45427</v>
      </c>
      <c r="H38" s="1474"/>
      <c r="I38" s="1474">
        <v>72.099999999999994</v>
      </c>
      <c r="J38" s="1018"/>
      <c r="K38" s="1475">
        <f t="shared" si="0"/>
        <v>51.5</v>
      </c>
    </row>
    <row r="39" spans="6:11">
      <c r="F39" s="1472">
        <v>36</v>
      </c>
      <c r="G39" s="1473">
        <v>45427</v>
      </c>
      <c r="H39" s="1474"/>
      <c r="I39" s="1474">
        <v>72.08</v>
      </c>
      <c r="J39" s="1018"/>
      <c r="K39" s="1475">
        <f t="shared" si="0"/>
        <v>51.485714285714288</v>
      </c>
    </row>
    <row r="40" spans="6:11">
      <c r="F40" s="1472">
        <v>37</v>
      </c>
      <c r="G40" s="1473">
        <v>45427</v>
      </c>
      <c r="H40" s="1474"/>
      <c r="I40" s="1474">
        <v>73</v>
      </c>
      <c r="J40" s="1018"/>
      <c r="K40" s="1475">
        <f t="shared" si="0"/>
        <v>52.142857142857146</v>
      </c>
    </row>
    <row r="41" spans="6:11">
      <c r="F41" s="1472">
        <v>38</v>
      </c>
      <c r="G41" s="1473">
        <v>45427</v>
      </c>
      <c r="H41" s="1474"/>
      <c r="I41" s="1474">
        <v>72.760000000000005</v>
      </c>
      <c r="J41" s="1018"/>
      <c r="K41" s="1475">
        <f t="shared" si="0"/>
        <v>51.971428571428575</v>
      </c>
    </row>
    <row r="42" spans="6:11">
      <c r="F42" s="1472">
        <v>39</v>
      </c>
      <c r="G42" s="1473">
        <v>45427</v>
      </c>
      <c r="H42" s="1474"/>
      <c r="I42" s="1474">
        <v>72</v>
      </c>
      <c r="J42" s="1018"/>
      <c r="K42" s="1475">
        <f t="shared" si="0"/>
        <v>51.428571428571431</v>
      </c>
    </row>
    <row r="43" spans="6:11">
      <c r="F43" s="1472">
        <v>40</v>
      </c>
      <c r="G43" s="1473">
        <v>45427</v>
      </c>
      <c r="H43" s="1474"/>
      <c r="I43" s="1474">
        <v>72.099999999999994</v>
      </c>
      <c r="J43" s="1018"/>
      <c r="K43" s="1475">
        <f t="shared" si="0"/>
        <v>51.5</v>
      </c>
    </row>
    <row r="44" spans="6:11">
      <c r="F44" s="1472">
        <v>41</v>
      </c>
      <c r="G44" s="1473">
        <v>45427</v>
      </c>
      <c r="H44" s="1474"/>
      <c r="I44" s="1474">
        <v>72.040000000000006</v>
      </c>
      <c r="J44" s="1018"/>
      <c r="K44" s="1475">
        <f t="shared" si="0"/>
        <v>51.457142857142863</v>
      </c>
    </row>
    <row r="45" spans="6:11">
      <c r="F45" s="1472">
        <v>42</v>
      </c>
      <c r="G45" s="1473">
        <v>45427</v>
      </c>
      <c r="H45" s="1474"/>
      <c r="I45" s="1474">
        <v>73.599999999999994</v>
      </c>
      <c r="J45" s="1018"/>
      <c r="K45" s="1475">
        <f t="shared" si="0"/>
        <v>52.571428571428569</v>
      </c>
    </row>
    <row r="46" spans="6:11">
      <c r="F46" s="1472">
        <v>43</v>
      </c>
      <c r="G46" s="1473">
        <v>45427</v>
      </c>
      <c r="H46" s="1474"/>
      <c r="I46" s="1474">
        <v>72</v>
      </c>
      <c r="J46" s="1018"/>
      <c r="K46" s="1475">
        <f t="shared" si="0"/>
        <v>51.428571428571431</v>
      </c>
    </row>
    <row r="47" spans="6:11">
      <c r="F47" s="1472">
        <v>44</v>
      </c>
      <c r="G47" s="1473">
        <v>45427</v>
      </c>
      <c r="H47" s="1474"/>
      <c r="I47" s="1474">
        <v>72.02</v>
      </c>
      <c r="J47" s="1018"/>
      <c r="K47" s="1475">
        <f t="shared" si="0"/>
        <v>51.442857142857143</v>
      </c>
    </row>
    <row r="48" spans="6:11">
      <c r="F48" s="1472">
        <v>45</v>
      </c>
      <c r="G48" s="1473">
        <v>45427</v>
      </c>
      <c r="H48" s="1474"/>
      <c r="I48" s="1474">
        <v>72</v>
      </c>
      <c r="J48" s="1018"/>
      <c r="K48" s="1475">
        <f t="shared" si="0"/>
        <v>51.428571428571431</v>
      </c>
    </row>
    <row r="49" spans="6:11">
      <c r="F49" s="1472">
        <v>46</v>
      </c>
      <c r="G49" s="1473">
        <v>45427</v>
      </c>
      <c r="H49" s="1474"/>
      <c r="I49" s="1474">
        <v>72</v>
      </c>
      <c r="J49" s="1018"/>
      <c r="K49" s="1475">
        <f t="shared" si="0"/>
        <v>51.428571428571431</v>
      </c>
    </row>
    <row r="50" spans="6:11">
      <c r="F50" s="1472">
        <v>47</v>
      </c>
      <c r="G50" s="1473">
        <v>45427</v>
      </c>
      <c r="H50" s="1474"/>
      <c r="I50" s="1474">
        <v>72.14</v>
      </c>
      <c r="J50" s="1018"/>
      <c r="K50" s="1475">
        <f t="shared" si="0"/>
        <v>51.528571428571432</v>
      </c>
    </row>
    <row r="51" spans="6:11">
      <c r="F51" s="1472">
        <v>48</v>
      </c>
      <c r="G51" s="1473">
        <v>45427</v>
      </c>
      <c r="H51" s="1474"/>
      <c r="I51" s="1474">
        <v>72.02</v>
      </c>
      <c r="J51" s="1018"/>
      <c r="K51" s="1475">
        <f t="shared" si="0"/>
        <v>51.442857142857143</v>
      </c>
    </row>
    <row r="52" spans="6:11">
      <c r="F52" s="1472">
        <v>49</v>
      </c>
      <c r="G52" s="1473">
        <v>45427</v>
      </c>
      <c r="H52" s="1474"/>
      <c r="I52" s="1474">
        <v>72</v>
      </c>
      <c r="J52" s="1018"/>
      <c r="K52" s="1475">
        <f t="shared" si="0"/>
        <v>51.428571428571431</v>
      </c>
    </row>
    <row r="53" spans="6:11">
      <c r="F53" s="1472">
        <v>50</v>
      </c>
      <c r="G53" s="1473">
        <v>45427</v>
      </c>
      <c r="H53" s="1474"/>
      <c r="I53" s="1474">
        <v>72</v>
      </c>
      <c r="J53" s="1018"/>
      <c r="K53" s="1475">
        <f t="shared" si="0"/>
        <v>51.428571428571431</v>
      </c>
    </row>
    <row r="54" spans="6:11">
      <c r="F54" s="1472">
        <v>51</v>
      </c>
      <c r="G54" s="1473">
        <v>45427</v>
      </c>
      <c r="H54" s="1474"/>
      <c r="I54" s="1474">
        <v>72.040000000000006</v>
      </c>
      <c r="J54" s="1018"/>
      <c r="K54" s="1475">
        <f t="shared" si="0"/>
        <v>51.457142857142863</v>
      </c>
    </row>
    <row r="55" spans="6:11">
      <c r="F55" s="1472">
        <v>52</v>
      </c>
      <c r="G55" s="1473">
        <v>45427</v>
      </c>
      <c r="H55" s="1474"/>
      <c r="I55" s="1474">
        <v>72</v>
      </c>
      <c r="J55" s="1018"/>
      <c r="K55" s="1475">
        <f t="shared" si="0"/>
        <v>51.428571428571431</v>
      </c>
    </row>
    <row r="56" spans="6:11">
      <c r="F56" s="1472">
        <v>53</v>
      </c>
      <c r="G56" s="1473">
        <v>45427</v>
      </c>
      <c r="H56" s="1474"/>
      <c r="I56" s="1474">
        <v>72</v>
      </c>
      <c r="J56" s="1018"/>
      <c r="K56" s="1475">
        <f t="shared" si="0"/>
        <v>51.428571428571431</v>
      </c>
    </row>
    <row r="57" spans="6:11">
      <c r="F57" s="1472">
        <v>54</v>
      </c>
      <c r="G57" s="1473">
        <v>45427</v>
      </c>
      <c r="H57" s="1474"/>
      <c r="I57" s="1474">
        <v>72.14</v>
      </c>
      <c r="J57" s="1018"/>
      <c r="K57" s="1475">
        <f t="shared" si="0"/>
        <v>51.528571428571432</v>
      </c>
    </row>
    <row r="58" spans="6:11">
      <c r="F58" s="1472">
        <v>55</v>
      </c>
      <c r="G58" s="1473">
        <v>45427</v>
      </c>
      <c r="H58" s="1474"/>
      <c r="I58" s="1474">
        <v>72.180000000000007</v>
      </c>
      <c r="J58" s="1018"/>
      <c r="K58" s="1475">
        <f t="shared" si="0"/>
        <v>51.557142857142864</v>
      </c>
    </row>
    <row r="59" spans="6:11">
      <c r="F59" s="1472">
        <v>56</v>
      </c>
      <c r="G59" s="1473">
        <v>45427</v>
      </c>
      <c r="H59" s="1474"/>
      <c r="I59" s="1474">
        <v>72.5</v>
      </c>
      <c r="J59" s="1018"/>
      <c r="K59" s="1475">
        <f t="shared" si="0"/>
        <v>51.785714285714292</v>
      </c>
    </row>
    <row r="60" spans="6:11">
      <c r="F60" s="1472">
        <v>57</v>
      </c>
      <c r="G60" s="1473">
        <v>45427</v>
      </c>
      <c r="H60" s="1474"/>
      <c r="I60" s="1474">
        <v>72.099999999999994</v>
      </c>
      <c r="J60" s="1018"/>
      <c r="K60" s="1475">
        <f t="shared" si="0"/>
        <v>51.5</v>
      </c>
    </row>
    <row r="61" spans="6:11">
      <c r="F61" s="1472">
        <v>58</v>
      </c>
      <c r="G61" s="1473">
        <v>45427</v>
      </c>
      <c r="H61" s="1474"/>
      <c r="I61" s="1474">
        <v>72.36</v>
      </c>
      <c r="J61" s="1018"/>
      <c r="K61" s="1475">
        <f t="shared" si="0"/>
        <v>51.68571428571429</v>
      </c>
    </row>
    <row r="62" spans="6:11">
      <c r="F62" s="1472">
        <v>59</v>
      </c>
      <c r="G62" s="1473">
        <v>45427</v>
      </c>
      <c r="H62" s="1474"/>
      <c r="I62" s="1474">
        <v>72.12</v>
      </c>
      <c r="J62" s="1018"/>
      <c r="K62" s="1475">
        <f t="shared" si="0"/>
        <v>51.51428571428572</v>
      </c>
    </row>
    <row r="63" spans="6:11">
      <c r="F63" s="1472">
        <v>60</v>
      </c>
      <c r="G63" s="1473">
        <v>45427</v>
      </c>
      <c r="H63" s="1474"/>
      <c r="I63" s="1474">
        <v>72.12</v>
      </c>
      <c r="J63" s="1018"/>
      <c r="K63" s="1475">
        <f t="shared" si="0"/>
        <v>51.51428571428572</v>
      </c>
    </row>
    <row r="64" spans="6:11">
      <c r="F64" s="1472">
        <v>61</v>
      </c>
      <c r="G64" s="1473">
        <v>45427</v>
      </c>
      <c r="H64" s="1474"/>
      <c r="I64" s="1474">
        <v>72</v>
      </c>
      <c r="J64" s="1018"/>
      <c r="K64" s="1475">
        <f t="shared" si="0"/>
        <v>51.428571428571431</v>
      </c>
    </row>
    <row r="65" spans="6:11">
      <c r="F65" s="1472">
        <v>62</v>
      </c>
      <c r="G65" s="1473">
        <v>45427</v>
      </c>
      <c r="H65" s="1474"/>
      <c r="I65" s="1474">
        <v>72</v>
      </c>
      <c r="J65" s="1018"/>
      <c r="K65" s="1475">
        <f t="shared" si="0"/>
        <v>51.428571428571431</v>
      </c>
    </row>
    <row r="66" spans="6:11">
      <c r="F66" s="1472">
        <v>63</v>
      </c>
      <c r="G66" s="1473">
        <v>45427</v>
      </c>
      <c r="H66" s="1474"/>
      <c r="I66" s="1474">
        <v>72</v>
      </c>
      <c r="J66" s="1018"/>
      <c r="K66" s="1475">
        <f t="shared" si="0"/>
        <v>51.428571428571431</v>
      </c>
    </row>
    <row r="67" spans="6:11">
      <c r="F67" s="1472">
        <v>64</v>
      </c>
      <c r="G67" s="1473">
        <v>45427</v>
      </c>
      <c r="H67" s="1474"/>
      <c r="I67" s="1474">
        <v>72.06</v>
      </c>
      <c r="J67" s="1018"/>
      <c r="K67" s="1475">
        <f t="shared" si="0"/>
        <v>51.471428571428575</v>
      </c>
    </row>
    <row r="68" spans="6:11">
      <c r="F68" s="1472">
        <v>65</v>
      </c>
      <c r="G68" s="1473">
        <v>45427</v>
      </c>
      <c r="H68" s="1474"/>
      <c r="I68" s="1474">
        <v>72</v>
      </c>
      <c r="J68" s="1018"/>
      <c r="K68" s="1475">
        <f t="shared" si="0"/>
        <v>51.428571428571431</v>
      </c>
    </row>
    <row r="69" spans="6:11">
      <c r="F69" s="1472">
        <v>66</v>
      </c>
      <c r="G69" s="1473">
        <v>45427</v>
      </c>
      <c r="H69" s="1474"/>
      <c r="I69" s="1474">
        <v>72</v>
      </c>
      <c r="J69" s="1018"/>
      <c r="K69" s="1475">
        <f t="shared" ref="K69:K132" si="1">I69/1.4</f>
        <v>51.428571428571431</v>
      </c>
    </row>
    <row r="70" spans="6:11">
      <c r="F70" s="1472">
        <v>67</v>
      </c>
      <c r="G70" s="1473">
        <v>45427</v>
      </c>
      <c r="H70" s="1474"/>
      <c r="I70" s="1474">
        <v>72</v>
      </c>
      <c r="J70" s="1018"/>
      <c r="K70" s="1475">
        <f t="shared" si="1"/>
        <v>51.428571428571431</v>
      </c>
    </row>
    <row r="71" spans="6:11">
      <c r="F71" s="1472">
        <v>68</v>
      </c>
      <c r="G71" s="1473">
        <v>45427</v>
      </c>
      <c r="H71" s="1474"/>
      <c r="I71" s="1474">
        <v>72.12</v>
      </c>
      <c r="J71" s="1018"/>
      <c r="K71" s="1475">
        <f t="shared" si="1"/>
        <v>51.51428571428572</v>
      </c>
    </row>
    <row r="72" spans="6:11">
      <c r="F72" s="1472">
        <v>69</v>
      </c>
      <c r="G72" s="1473">
        <v>45427</v>
      </c>
      <c r="H72" s="1474"/>
      <c r="I72" s="1474">
        <v>72.099999999999994</v>
      </c>
      <c r="J72" s="1018"/>
      <c r="K72" s="1475">
        <f t="shared" si="1"/>
        <v>51.5</v>
      </c>
    </row>
    <row r="73" spans="6:11">
      <c r="F73" s="1472">
        <v>70</v>
      </c>
      <c r="G73" s="1473">
        <v>45427</v>
      </c>
      <c r="H73" s="1474"/>
      <c r="I73" s="1474">
        <v>74.88</v>
      </c>
      <c r="J73" s="1018"/>
      <c r="K73" s="1475">
        <f t="shared" si="1"/>
        <v>53.485714285714288</v>
      </c>
    </row>
    <row r="74" spans="6:11">
      <c r="F74" s="1472">
        <v>71</v>
      </c>
      <c r="G74" s="1473">
        <v>45427</v>
      </c>
      <c r="H74" s="1474"/>
      <c r="I74" s="1474">
        <v>73.44</v>
      </c>
      <c r="J74" s="1018"/>
      <c r="K74" s="1475">
        <f t="shared" si="1"/>
        <v>52.457142857142856</v>
      </c>
    </row>
    <row r="75" spans="6:11">
      <c r="F75" s="1472">
        <v>72</v>
      </c>
      <c r="G75" s="1473">
        <v>45427</v>
      </c>
      <c r="H75" s="1474"/>
      <c r="I75" s="1474">
        <v>75.36</v>
      </c>
      <c r="J75" s="1018"/>
      <c r="K75" s="1475">
        <f t="shared" si="1"/>
        <v>53.828571428571429</v>
      </c>
    </row>
    <row r="76" spans="6:11">
      <c r="F76" s="1472">
        <v>73</v>
      </c>
      <c r="G76" s="1473">
        <v>45427</v>
      </c>
      <c r="H76" s="1474"/>
      <c r="I76" s="1474">
        <v>72</v>
      </c>
      <c r="J76" s="1018"/>
      <c r="K76" s="1475">
        <f t="shared" si="1"/>
        <v>51.428571428571431</v>
      </c>
    </row>
    <row r="77" spans="6:11">
      <c r="F77" s="1472">
        <v>74</v>
      </c>
      <c r="G77" s="1473">
        <v>45427</v>
      </c>
      <c r="H77" s="1474"/>
      <c r="I77" s="1474">
        <v>72.02</v>
      </c>
      <c r="J77" s="1018"/>
      <c r="K77" s="1475">
        <f t="shared" si="1"/>
        <v>51.442857142857143</v>
      </c>
    </row>
    <row r="78" spans="6:11">
      <c r="F78" s="1472">
        <v>75</v>
      </c>
      <c r="G78" s="1473">
        <v>45427</v>
      </c>
      <c r="H78" s="1474"/>
      <c r="I78" s="1474">
        <v>72.02</v>
      </c>
      <c r="J78" s="1018"/>
      <c r="K78" s="1475">
        <f t="shared" si="1"/>
        <v>51.442857142857143</v>
      </c>
    </row>
    <row r="79" spans="6:11">
      <c r="F79" s="1472">
        <v>76</v>
      </c>
      <c r="G79" s="1473">
        <v>45427</v>
      </c>
      <c r="H79" s="1474"/>
      <c r="I79" s="1474">
        <v>72</v>
      </c>
      <c r="J79" s="1018"/>
      <c r="K79" s="1475">
        <f t="shared" si="1"/>
        <v>51.428571428571431</v>
      </c>
    </row>
    <row r="80" spans="6:11">
      <c r="F80" s="1472">
        <v>77</v>
      </c>
      <c r="G80" s="1473">
        <v>45427</v>
      </c>
      <c r="H80" s="1474"/>
      <c r="I80" s="1474">
        <v>72.040000000000006</v>
      </c>
      <c r="J80" s="1018"/>
      <c r="K80" s="1475">
        <f t="shared" si="1"/>
        <v>51.457142857142863</v>
      </c>
    </row>
    <row r="81" spans="6:11">
      <c r="F81" s="1472">
        <v>78</v>
      </c>
      <c r="G81" s="1473">
        <v>45427</v>
      </c>
      <c r="H81" s="1474"/>
      <c r="I81" s="1474">
        <v>73.400000000000006</v>
      </c>
      <c r="J81" s="1018"/>
      <c r="K81" s="1475">
        <f t="shared" si="1"/>
        <v>52.428571428571438</v>
      </c>
    </row>
    <row r="82" spans="6:11">
      <c r="F82" s="1472">
        <v>79</v>
      </c>
      <c r="G82" s="1473">
        <v>45427</v>
      </c>
      <c r="H82" s="1474"/>
      <c r="I82" s="1474">
        <v>72</v>
      </c>
      <c r="J82" s="1018"/>
      <c r="K82" s="1475">
        <f t="shared" si="1"/>
        <v>51.428571428571431</v>
      </c>
    </row>
    <row r="83" spans="6:11">
      <c r="F83" s="1472">
        <v>80</v>
      </c>
      <c r="G83" s="1473">
        <v>45427</v>
      </c>
      <c r="H83" s="1474"/>
      <c r="I83" s="1474">
        <v>72</v>
      </c>
      <c r="J83" s="1018"/>
      <c r="K83" s="1475">
        <f t="shared" si="1"/>
        <v>51.428571428571431</v>
      </c>
    </row>
    <row r="84" spans="6:11">
      <c r="F84" s="1472">
        <v>81</v>
      </c>
      <c r="G84" s="1473">
        <v>45427</v>
      </c>
      <c r="H84" s="1474"/>
      <c r="I84" s="1474">
        <v>73.72</v>
      </c>
      <c r="J84" s="1018"/>
      <c r="K84" s="1475">
        <f t="shared" si="1"/>
        <v>52.657142857142858</v>
      </c>
    </row>
    <row r="85" spans="6:11">
      <c r="F85" s="1472">
        <v>82</v>
      </c>
      <c r="G85" s="1473">
        <v>45427</v>
      </c>
      <c r="H85" s="1474"/>
      <c r="I85" s="1474">
        <v>74.760000000000005</v>
      </c>
      <c r="J85" s="1018"/>
      <c r="K85" s="1475">
        <f t="shared" si="1"/>
        <v>53.400000000000006</v>
      </c>
    </row>
    <row r="86" spans="6:11">
      <c r="F86" s="1472">
        <v>83</v>
      </c>
      <c r="G86" s="1473">
        <v>45427</v>
      </c>
      <c r="H86" s="1474"/>
      <c r="I86" s="1474">
        <v>72.88</v>
      </c>
      <c r="J86" s="1018"/>
      <c r="K86" s="1475">
        <f t="shared" si="1"/>
        <v>52.057142857142857</v>
      </c>
    </row>
    <row r="87" spans="6:11">
      <c r="F87" s="1472">
        <v>84</v>
      </c>
      <c r="G87" s="1473">
        <v>45427</v>
      </c>
      <c r="H87" s="1474"/>
      <c r="I87" s="1474">
        <v>72.040000000000006</v>
      </c>
      <c r="J87" s="1018"/>
      <c r="K87" s="1475">
        <f t="shared" si="1"/>
        <v>51.457142857142863</v>
      </c>
    </row>
    <row r="88" spans="6:11">
      <c r="F88" s="1472">
        <v>85</v>
      </c>
      <c r="G88" s="1473">
        <v>45427</v>
      </c>
      <c r="H88" s="1474"/>
      <c r="I88" s="1474">
        <v>72.02</v>
      </c>
      <c r="J88" s="1018"/>
      <c r="K88" s="1475">
        <f t="shared" si="1"/>
        <v>51.442857142857143</v>
      </c>
    </row>
    <row r="89" spans="6:11">
      <c r="F89" s="1472">
        <v>86</v>
      </c>
      <c r="G89" s="1473">
        <v>45427</v>
      </c>
      <c r="H89" s="1474"/>
      <c r="I89" s="1474">
        <v>72</v>
      </c>
      <c r="J89" s="1018"/>
      <c r="K89" s="1475">
        <f t="shared" si="1"/>
        <v>51.428571428571431</v>
      </c>
    </row>
    <row r="90" spans="6:11">
      <c r="F90" s="1472">
        <v>87</v>
      </c>
      <c r="G90" s="1473">
        <v>45427</v>
      </c>
      <c r="H90" s="1474"/>
      <c r="I90" s="1474">
        <v>72.099999999999994</v>
      </c>
      <c r="J90" s="1018"/>
      <c r="K90" s="1475">
        <f t="shared" si="1"/>
        <v>51.5</v>
      </c>
    </row>
    <row r="91" spans="6:11">
      <c r="F91" s="1472">
        <v>88</v>
      </c>
      <c r="G91" s="1473">
        <v>45427</v>
      </c>
      <c r="H91" s="1474"/>
      <c r="I91" s="1474">
        <v>72.02</v>
      </c>
      <c r="J91" s="1018"/>
      <c r="K91" s="1475">
        <f t="shared" si="1"/>
        <v>51.442857142857143</v>
      </c>
    </row>
    <row r="92" spans="6:11">
      <c r="F92" s="1472">
        <v>89</v>
      </c>
      <c r="G92" s="1473">
        <v>45427</v>
      </c>
      <c r="H92" s="1474"/>
      <c r="I92" s="1474">
        <v>72.02</v>
      </c>
      <c r="J92" s="1018"/>
      <c r="K92" s="1475">
        <f t="shared" si="1"/>
        <v>51.442857142857143</v>
      </c>
    </row>
    <row r="93" spans="6:11">
      <c r="F93" s="1472">
        <v>90</v>
      </c>
      <c r="G93" s="1473">
        <v>45427</v>
      </c>
      <c r="H93" s="1474"/>
      <c r="I93" s="1474">
        <v>72.08</v>
      </c>
      <c r="J93" s="1018"/>
      <c r="K93" s="1475">
        <f t="shared" si="1"/>
        <v>51.485714285714288</v>
      </c>
    </row>
    <row r="94" spans="6:11">
      <c r="F94" s="1472">
        <v>91</v>
      </c>
      <c r="G94" s="1473">
        <v>45427</v>
      </c>
      <c r="H94" s="1474"/>
      <c r="I94" s="1474">
        <v>73.7</v>
      </c>
      <c r="J94" s="1018"/>
      <c r="K94" s="1475">
        <f t="shared" si="1"/>
        <v>52.642857142857146</v>
      </c>
    </row>
    <row r="95" spans="6:11">
      <c r="F95" s="1472">
        <v>92</v>
      </c>
      <c r="G95" s="1473">
        <v>45427</v>
      </c>
      <c r="H95" s="1474"/>
      <c r="I95" s="1474">
        <v>73.400000000000006</v>
      </c>
      <c r="J95" s="1018"/>
      <c r="K95" s="1475">
        <f t="shared" si="1"/>
        <v>52.428571428571438</v>
      </c>
    </row>
    <row r="96" spans="6:11">
      <c r="F96" s="1472">
        <v>93</v>
      </c>
      <c r="G96" s="1473">
        <v>45427</v>
      </c>
      <c r="H96" s="1474"/>
      <c r="I96" s="1474">
        <v>72.02</v>
      </c>
      <c r="J96" s="1018"/>
      <c r="K96" s="1475">
        <f t="shared" si="1"/>
        <v>51.442857142857143</v>
      </c>
    </row>
    <row r="97" spans="6:11">
      <c r="F97" s="1472">
        <v>94</v>
      </c>
      <c r="G97" s="1473">
        <v>45427</v>
      </c>
      <c r="H97" s="1474"/>
      <c r="I97" s="1474">
        <v>72</v>
      </c>
      <c r="J97" s="1018"/>
      <c r="K97" s="1475">
        <f t="shared" si="1"/>
        <v>51.428571428571431</v>
      </c>
    </row>
    <row r="98" spans="6:11">
      <c r="F98" s="1472">
        <v>95</v>
      </c>
      <c r="G98" s="1473">
        <v>45427</v>
      </c>
      <c r="H98" s="1474"/>
      <c r="I98" s="1474">
        <v>72.040000000000006</v>
      </c>
      <c r="J98" s="1018"/>
      <c r="K98" s="1475">
        <f t="shared" si="1"/>
        <v>51.457142857142863</v>
      </c>
    </row>
    <row r="99" spans="6:11">
      <c r="F99" s="1472">
        <v>96</v>
      </c>
      <c r="G99" s="1473">
        <v>45427</v>
      </c>
      <c r="H99" s="1474"/>
      <c r="I99" s="1474">
        <v>72.02</v>
      </c>
      <c r="J99" s="1018"/>
      <c r="K99" s="1475">
        <f t="shared" si="1"/>
        <v>51.442857142857143</v>
      </c>
    </row>
    <row r="100" spans="6:11">
      <c r="F100" s="1472">
        <v>97</v>
      </c>
      <c r="G100" s="1473">
        <v>45427</v>
      </c>
      <c r="H100" s="1474"/>
      <c r="I100" s="1474">
        <v>72</v>
      </c>
      <c r="J100" s="1018"/>
      <c r="K100" s="1475">
        <f t="shared" si="1"/>
        <v>51.428571428571431</v>
      </c>
    </row>
    <row r="101" spans="6:11">
      <c r="F101" s="1472">
        <v>98</v>
      </c>
      <c r="G101" s="1473">
        <v>45427</v>
      </c>
      <c r="H101" s="1474"/>
      <c r="I101" s="1474">
        <v>72.02</v>
      </c>
      <c r="J101" s="1018"/>
      <c r="K101" s="1475">
        <f t="shared" si="1"/>
        <v>51.442857142857143</v>
      </c>
    </row>
    <row r="102" spans="6:11">
      <c r="F102" s="1472">
        <v>99</v>
      </c>
      <c r="G102" s="1473">
        <v>45427</v>
      </c>
      <c r="H102" s="1474"/>
      <c r="I102" s="1474">
        <v>74.84</v>
      </c>
      <c r="J102" s="1018"/>
      <c r="K102" s="1475">
        <f t="shared" si="1"/>
        <v>53.457142857142863</v>
      </c>
    </row>
    <row r="103" spans="6:11">
      <c r="F103" s="1472">
        <v>100</v>
      </c>
      <c r="G103" s="1473">
        <v>45427</v>
      </c>
      <c r="H103" s="1474"/>
      <c r="I103" s="1474">
        <v>72.06</v>
      </c>
      <c r="J103" s="1018"/>
      <c r="K103" s="1475">
        <f t="shared" si="1"/>
        <v>51.471428571428575</v>
      </c>
    </row>
    <row r="104" spans="6:11">
      <c r="F104" s="1472">
        <v>101</v>
      </c>
      <c r="G104" s="1473">
        <v>45427</v>
      </c>
      <c r="H104" s="1474"/>
      <c r="I104" s="1474">
        <v>74.599999999999994</v>
      </c>
      <c r="J104" s="1018"/>
      <c r="K104" s="1475">
        <f t="shared" si="1"/>
        <v>53.285714285714285</v>
      </c>
    </row>
    <row r="105" spans="6:11">
      <c r="F105" s="1472">
        <v>102</v>
      </c>
      <c r="G105" s="1473">
        <v>45427</v>
      </c>
      <c r="H105" s="1474"/>
      <c r="I105" s="1474">
        <v>72.02</v>
      </c>
      <c r="J105" s="1018"/>
      <c r="K105" s="1475">
        <f t="shared" si="1"/>
        <v>51.442857142857143</v>
      </c>
    </row>
    <row r="106" spans="6:11">
      <c r="F106" s="1472">
        <v>103</v>
      </c>
      <c r="G106" s="1473">
        <v>45427</v>
      </c>
      <c r="H106" s="1474"/>
      <c r="I106" s="1474">
        <v>72</v>
      </c>
      <c r="J106" s="1018"/>
      <c r="K106" s="1475">
        <f t="shared" si="1"/>
        <v>51.428571428571431</v>
      </c>
    </row>
    <row r="107" spans="6:11">
      <c r="F107" s="1472">
        <v>104</v>
      </c>
      <c r="G107" s="1473">
        <v>45427</v>
      </c>
      <c r="H107" s="1474"/>
      <c r="I107" s="1474">
        <v>72.06</v>
      </c>
      <c r="J107" s="1018"/>
      <c r="K107" s="1475">
        <f t="shared" si="1"/>
        <v>51.471428571428575</v>
      </c>
    </row>
    <row r="108" spans="6:11">
      <c r="F108" s="1472">
        <v>105</v>
      </c>
      <c r="G108" s="1473">
        <v>45427</v>
      </c>
      <c r="H108" s="1474"/>
      <c r="I108" s="1474">
        <v>72.02</v>
      </c>
      <c r="J108" s="1018"/>
      <c r="K108" s="1475">
        <f t="shared" si="1"/>
        <v>51.442857142857143</v>
      </c>
    </row>
    <row r="109" spans="6:11">
      <c r="F109" s="1472">
        <v>106</v>
      </c>
      <c r="G109" s="1473">
        <v>45427</v>
      </c>
      <c r="H109" s="1474"/>
      <c r="I109" s="1474">
        <v>72.72</v>
      </c>
      <c r="J109" s="1018"/>
      <c r="K109" s="1475">
        <f t="shared" si="1"/>
        <v>51.942857142857143</v>
      </c>
    </row>
    <row r="110" spans="6:11">
      <c r="F110" s="1472">
        <v>107</v>
      </c>
      <c r="G110" s="1473">
        <v>45427</v>
      </c>
      <c r="H110" s="1474"/>
      <c r="I110" s="1474">
        <v>72.06</v>
      </c>
      <c r="J110" s="1018"/>
      <c r="K110" s="1475">
        <f t="shared" si="1"/>
        <v>51.471428571428575</v>
      </c>
    </row>
    <row r="111" spans="6:11">
      <c r="F111" s="1472">
        <v>108</v>
      </c>
      <c r="G111" s="1473">
        <v>45427</v>
      </c>
      <c r="H111" s="1474"/>
      <c r="I111" s="1474">
        <v>72.06</v>
      </c>
      <c r="J111" s="1018"/>
      <c r="K111" s="1475">
        <f t="shared" si="1"/>
        <v>51.471428571428575</v>
      </c>
    </row>
    <row r="112" spans="6:11">
      <c r="F112" s="1472">
        <v>109</v>
      </c>
      <c r="G112" s="1473">
        <v>45427</v>
      </c>
      <c r="H112" s="1474"/>
      <c r="I112" s="1474">
        <v>73.02</v>
      </c>
      <c r="J112" s="1018"/>
      <c r="K112" s="1475">
        <f t="shared" si="1"/>
        <v>52.157142857142858</v>
      </c>
    </row>
    <row r="113" spans="6:11">
      <c r="F113" s="1472">
        <v>110</v>
      </c>
      <c r="G113" s="1473">
        <v>45427</v>
      </c>
      <c r="H113" s="1474"/>
      <c r="I113" s="1474">
        <v>72.7</v>
      </c>
      <c r="J113" s="1018"/>
      <c r="K113" s="1475">
        <f t="shared" si="1"/>
        <v>51.928571428571431</v>
      </c>
    </row>
    <row r="114" spans="6:11">
      <c r="F114" s="1472">
        <v>111</v>
      </c>
      <c r="G114" s="1473">
        <v>45427</v>
      </c>
      <c r="H114" s="1474"/>
      <c r="I114" s="1474">
        <v>72.14</v>
      </c>
      <c r="J114" s="1018"/>
      <c r="K114" s="1475">
        <f t="shared" si="1"/>
        <v>51.528571428571432</v>
      </c>
    </row>
    <row r="115" spans="6:11">
      <c r="F115" s="1472">
        <v>112</v>
      </c>
      <c r="G115" s="1473">
        <v>45427</v>
      </c>
      <c r="H115" s="1474"/>
      <c r="I115" s="1474">
        <v>73.319999999999993</v>
      </c>
      <c r="J115" s="1018"/>
      <c r="K115" s="1475">
        <f t="shared" si="1"/>
        <v>52.371428571428567</v>
      </c>
    </row>
    <row r="116" spans="6:11">
      <c r="F116" s="1472">
        <v>113</v>
      </c>
      <c r="G116" s="1473">
        <v>45427</v>
      </c>
      <c r="H116" s="1474"/>
      <c r="I116" s="1474">
        <v>72.42</v>
      </c>
      <c r="J116" s="1018"/>
      <c r="K116" s="1475">
        <f t="shared" si="1"/>
        <v>51.728571428571435</v>
      </c>
    </row>
    <row r="117" spans="6:11">
      <c r="F117" s="1472">
        <v>114</v>
      </c>
      <c r="G117" s="1473">
        <v>45427</v>
      </c>
      <c r="H117" s="1474"/>
      <c r="I117" s="1474">
        <v>72.02</v>
      </c>
      <c r="J117" s="1018"/>
      <c r="K117" s="1475">
        <f t="shared" si="1"/>
        <v>51.442857142857143</v>
      </c>
    </row>
    <row r="118" spans="6:11">
      <c r="F118" s="1472">
        <v>115</v>
      </c>
      <c r="G118" s="1473">
        <v>45427</v>
      </c>
      <c r="H118" s="1474"/>
      <c r="I118" s="1474">
        <v>72.02</v>
      </c>
      <c r="J118" s="1018"/>
      <c r="K118" s="1475">
        <f t="shared" si="1"/>
        <v>51.442857142857143</v>
      </c>
    </row>
    <row r="119" spans="6:11">
      <c r="F119" s="1472">
        <v>116</v>
      </c>
      <c r="G119" s="1473">
        <v>45427</v>
      </c>
      <c r="H119" s="1474"/>
      <c r="I119" s="1474">
        <v>72.040000000000006</v>
      </c>
      <c r="J119" s="1018"/>
      <c r="K119" s="1475">
        <f t="shared" si="1"/>
        <v>51.457142857142863</v>
      </c>
    </row>
    <row r="120" spans="6:11">
      <c r="F120" s="1472">
        <v>117</v>
      </c>
      <c r="G120" s="1473">
        <v>45427</v>
      </c>
      <c r="H120" s="1474"/>
      <c r="I120" s="1474">
        <v>72.5</v>
      </c>
      <c r="J120" s="1018"/>
      <c r="K120" s="1475">
        <f t="shared" si="1"/>
        <v>51.785714285714292</v>
      </c>
    </row>
    <row r="121" spans="6:11">
      <c r="F121" s="1472">
        <v>118</v>
      </c>
      <c r="G121" s="1473">
        <v>45427</v>
      </c>
      <c r="H121" s="1474"/>
      <c r="I121" s="1474">
        <v>72.02</v>
      </c>
      <c r="J121" s="1018"/>
      <c r="K121" s="1475">
        <f t="shared" si="1"/>
        <v>51.442857142857143</v>
      </c>
    </row>
    <row r="122" spans="6:11">
      <c r="F122" s="1472">
        <v>119</v>
      </c>
      <c r="G122" s="1473">
        <v>45427</v>
      </c>
      <c r="H122" s="1474"/>
      <c r="I122" s="1474">
        <v>72</v>
      </c>
      <c r="J122" s="1018"/>
      <c r="K122" s="1475">
        <f t="shared" si="1"/>
        <v>51.428571428571431</v>
      </c>
    </row>
    <row r="123" spans="6:11">
      <c r="F123" s="1472">
        <v>120</v>
      </c>
      <c r="G123" s="1473">
        <v>45427</v>
      </c>
      <c r="H123" s="1474"/>
      <c r="I123" s="1474">
        <v>72.099999999999994</v>
      </c>
      <c r="J123" s="1018"/>
      <c r="K123" s="1475">
        <f t="shared" si="1"/>
        <v>51.5</v>
      </c>
    </row>
    <row r="124" spans="6:11">
      <c r="F124" s="1472">
        <v>121</v>
      </c>
      <c r="G124" s="1473">
        <v>45427</v>
      </c>
      <c r="H124" s="1474"/>
      <c r="I124" s="1474">
        <v>72.06</v>
      </c>
      <c r="J124" s="1018"/>
      <c r="K124" s="1475">
        <f t="shared" si="1"/>
        <v>51.471428571428575</v>
      </c>
    </row>
    <row r="125" spans="6:11">
      <c r="F125" s="1472">
        <v>122</v>
      </c>
      <c r="G125" s="1473">
        <v>45427</v>
      </c>
      <c r="H125" s="1474"/>
      <c r="I125" s="1474">
        <v>72.040000000000006</v>
      </c>
      <c r="J125" s="1018"/>
      <c r="K125" s="1475">
        <f t="shared" si="1"/>
        <v>51.457142857142863</v>
      </c>
    </row>
    <row r="126" spans="6:11">
      <c r="F126" s="1472">
        <v>123</v>
      </c>
      <c r="G126" s="1473">
        <v>45427</v>
      </c>
      <c r="H126" s="1474"/>
      <c r="I126" s="1474">
        <v>72.040000000000006</v>
      </c>
      <c r="J126" s="1018"/>
      <c r="K126" s="1475">
        <f t="shared" si="1"/>
        <v>51.457142857142863</v>
      </c>
    </row>
    <row r="127" spans="6:11">
      <c r="F127" s="1472">
        <v>124</v>
      </c>
      <c r="G127" s="1473">
        <v>45427</v>
      </c>
      <c r="H127" s="1474"/>
      <c r="I127" s="1474">
        <v>72.06</v>
      </c>
      <c r="J127" s="1018"/>
      <c r="K127" s="1475">
        <f t="shared" si="1"/>
        <v>51.471428571428575</v>
      </c>
    </row>
    <row r="128" spans="6:11">
      <c r="F128" s="1472">
        <v>125</v>
      </c>
      <c r="G128" s="1473">
        <v>45427</v>
      </c>
      <c r="H128" s="1474"/>
      <c r="I128" s="1474">
        <v>72.02</v>
      </c>
      <c r="J128" s="1018"/>
      <c r="K128" s="1475">
        <f t="shared" si="1"/>
        <v>51.442857142857143</v>
      </c>
    </row>
    <row r="129" spans="6:19">
      <c r="F129" s="1472">
        <v>126</v>
      </c>
      <c r="G129" s="1473">
        <v>45427</v>
      </c>
      <c r="H129" s="1474"/>
      <c r="I129" s="1474">
        <v>72.02</v>
      </c>
      <c r="J129" s="1018"/>
      <c r="K129" s="1475">
        <f t="shared" si="1"/>
        <v>51.442857142857143</v>
      </c>
    </row>
    <row r="130" spans="6:19">
      <c r="F130" s="1472">
        <v>127</v>
      </c>
      <c r="G130" s="1473">
        <v>45427</v>
      </c>
      <c r="H130" s="1474"/>
      <c r="I130" s="1474">
        <v>72.02</v>
      </c>
      <c r="J130" s="1018"/>
      <c r="K130" s="1475">
        <f t="shared" si="1"/>
        <v>51.442857142857143</v>
      </c>
    </row>
    <row r="131" spans="6:19">
      <c r="F131" s="1472">
        <v>128</v>
      </c>
      <c r="G131" s="1473">
        <v>45427</v>
      </c>
      <c r="H131" s="1474"/>
      <c r="I131" s="1474">
        <v>72.02</v>
      </c>
      <c r="J131" s="1018"/>
      <c r="K131" s="1475">
        <f t="shared" si="1"/>
        <v>51.442857142857143</v>
      </c>
    </row>
    <row r="132" spans="6:19">
      <c r="F132" s="1472">
        <v>129</v>
      </c>
      <c r="G132" s="1473">
        <v>45427</v>
      </c>
      <c r="H132" s="1474"/>
      <c r="I132" s="1474">
        <v>72.02</v>
      </c>
      <c r="J132" s="1018"/>
      <c r="K132" s="1475">
        <f t="shared" si="1"/>
        <v>51.442857142857143</v>
      </c>
    </row>
    <row r="133" spans="6:19">
      <c r="F133" s="1472">
        <v>130</v>
      </c>
      <c r="G133" s="1473">
        <v>45427</v>
      </c>
      <c r="H133" s="1474"/>
      <c r="I133" s="1474">
        <v>72</v>
      </c>
      <c r="J133" s="1018"/>
      <c r="K133" s="1475">
        <f t="shared" ref="K133:K135" si="2">I133/1.4</f>
        <v>51.428571428571431</v>
      </c>
      <c r="N133">
        <v>1197.9414285714286</v>
      </c>
      <c r="O133">
        <f>(N133*1.4)</f>
        <v>1677.1179999999999</v>
      </c>
    </row>
    <row r="134" spans="6:19">
      <c r="F134" s="1472">
        <v>131</v>
      </c>
      <c r="G134" s="1473">
        <v>45427</v>
      </c>
      <c r="H134" s="1474"/>
      <c r="I134" s="1474">
        <v>72.02</v>
      </c>
      <c r="J134" s="1018"/>
      <c r="K134" s="1475">
        <f t="shared" si="2"/>
        <v>51.442857142857143</v>
      </c>
    </row>
    <row r="135" spans="6:19" ht="15.75" thickBot="1">
      <c r="F135" s="1476">
        <v>132</v>
      </c>
      <c r="G135" s="1477">
        <v>45427</v>
      </c>
      <c r="H135" s="1478">
        <v>24.26</v>
      </c>
      <c r="I135" s="1478"/>
      <c r="J135" s="1479">
        <f>H135/1.4</f>
        <v>17.328571428571429</v>
      </c>
      <c r="K135" s="1480">
        <f t="shared" si="2"/>
        <v>0</v>
      </c>
      <c r="N135">
        <f>SUM(N136:N139)</f>
        <v>8114.2428571428572</v>
      </c>
      <c r="Q135">
        <v>8114.2174000000005</v>
      </c>
    </row>
    <row r="136" spans="6:19">
      <c r="N136">
        <v>465.71428571428578</v>
      </c>
      <c r="O136">
        <f>(N136*1.4)</f>
        <v>652</v>
      </c>
    </row>
    <row r="137" spans="6:19">
      <c r="N137">
        <v>2344.3714285714286</v>
      </c>
      <c r="O137">
        <f>(N137*1.4)</f>
        <v>3282.12</v>
      </c>
    </row>
    <row r="138" spans="6:19">
      <c r="N138">
        <v>4257.0728571428581</v>
      </c>
      <c r="O138">
        <f>(N138*1.4)</f>
        <v>5959.902000000001</v>
      </c>
    </row>
    <row r="139" spans="6:19">
      <c r="N139">
        <f>[5]Miel!$GU$12+[5]Miel!$GW$12</f>
        <v>1047.0842857142857</v>
      </c>
      <c r="O139">
        <f>(N139*1.4)</f>
        <v>1465.9179999999999</v>
      </c>
    </row>
    <row r="140" spans="6:19">
      <c r="N140" t="s">
        <v>982</v>
      </c>
    </row>
    <row r="141" spans="6:19">
      <c r="N141" s="1456">
        <v>2021</v>
      </c>
      <c r="O141" s="1456">
        <v>2022</v>
      </c>
      <c r="P141" s="1456">
        <v>2023</v>
      </c>
      <c r="Q141" s="1528">
        <v>2024</v>
      </c>
    </row>
    <row r="142" spans="6:19">
      <c r="M142" s="1711" t="s">
        <v>981</v>
      </c>
      <c r="N142" s="1481">
        <f>(N136*1.4)</f>
        <v>652</v>
      </c>
      <c r="O142" s="1481">
        <f>(N137*1.4)</f>
        <v>3282.12</v>
      </c>
      <c r="P142" s="1481">
        <f>(N138*1.4)</f>
        <v>5959.902000000001</v>
      </c>
      <c r="Q142" s="1481">
        <f>(N139*1.4)</f>
        <v>1465.9179999999999</v>
      </c>
    </row>
    <row r="143" spans="6:19">
      <c r="M143" s="1711"/>
      <c r="N143" s="1805">
        <f>SUM(N142:Q142)</f>
        <v>11359.94</v>
      </c>
      <c r="O143" s="1805"/>
      <c r="P143" s="1805"/>
      <c r="Q143" s="1805"/>
      <c r="S143">
        <f>(N143/1.4)</f>
        <v>8114.2428571428582</v>
      </c>
    </row>
    <row r="144" spans="6:19">
      <c r="M144" t="s">
        <v>983</v>
      </c>
      <c r="N144" s="1806">
        <v>9505.6600000000108</v>
      </c>
      <c r="O144" s="1806"/>
      <c r="P144" s="1806"/>
      <c r="Q144" s="1806"/>
      <c r="R144" s="78">
        <f>(N144*50)</f>
        <v>475283.00000000052</v>
      </c>
    </row>
    <row r="145" spans="13:19">
      <c r="M145" t="s">
        <v>984</v>
      </c>
      <c r="N145" s="1807">
        <f>(N143-N144)</f>
        <v>1854.2799999999897</v>
      </c>
      <c r="O145" s="1807"/>
      <c r="P145" s="1807"/>
      <c r="Q145" s="1807"/>
    </row>
    <row r="146" spans="13:19">
      <c r="M146" s="105" t="s">
        <v>988</v>
      </c>
      <c r="N146" s="1808">
        <v>1677.1179999999999</v>
      </c>
      <c r="O146" s="1808"/>
      <c r="P146" s="1808"/>
      <c r="Q146" s="1808"/>
      <c r="S146">
        <f>(N146/1.4)</f>
        <v>1197.9414285714286</v>
      </c>
    </row>
    <row r="147" spans="13:19">
      <c r="M147" t="s">
        <v>985</v>
      </c>
      <c r="N147" s="1804">
        <f>(Miel!X3+Miel!AB2+Miel!AD3+Miel!AF3+Miel!AH3)*1.4</f>
        <v>173.852</v>
      </c>
      <c r="O147" s="1804"/>
      <c r="P147" s="1804"/>
      <c r="Q147" s="1804"/>
      <c r="R147" s="1482"/>
    </row>
    <row r="148" spans="13:19">
      <c r="M148" t="s">
        <v>984</v>
      </c>
      <c r="N148" s="1481">
        <f>N145-N146-N147</f>
        <v>3.3099999999897989</v>
      </c>
    </row>
  </sheetData>
  <mergeCells count="6">
    <mergeCell ref="N147:Q147"/>
    <mergeCell ref="M142:M143"/>
    <mergeCell ref="N143:Q143"/>
    <mergeCell ref="N144:Q144"/>
    <mergeCell ref="N145:Q145"/>
    <mergeCell ref="N146:Q146"/>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168F-9F81-47E3-8CE8-9F05E80AA630}">
  <sheetPr codeName="Hoja22">
    <pageSetUpPr fitToPage="1"/>
  </sheetPr>
  <dimension ref="A2:AP40"/>
  <sheetViews>
    <sheetView workbookViewId="0"/>
  </sheetViews>
  <sheetFormatPr baseColWidth="10" defaultColWidth="9.140625" defaultRowHeight="15"/>
  <cols>
    <col min="1" max="1" width="9.140625" style="1"/>
    <col min="2" max="2" width="11.85546875" style="1" hidden="1" customWidth="1"/>
    <col min="3" max="3" width="19" style="1" bestFit="1" customWidth="1"/>
    <col min="4" max="4" width="11.140625" style="1" customWidth="1"/>
    <col min="5" max="5" width="14.85546875" style="1" customWidth="1"/>
    <col min="6" max="6" width="11.140625" style="1" customWidth="1"/>
    <col min="7" max="7" width="12.140625" style="1" customWidth="1"/>
    <col min="8" max="8" width="11.140625" style="1" customWidth="1"/>
    <col min="9" max="9" width="11.5703125" style="1" customWidth="1"/>
    <col min="10" max="10" width="12.28515625" style="1" bestFit="1" customWidth="1"/>
    <col min="11" max="11" width="11.85546875" style="1" customWidth="1"/>
    <col min="12" max="12" width="15.28515625" style="1" customWidth="1"/>
    <col min="13" max="13" width="11.5703125" style="1" customWidth="1"/>
    <col min="14" max="15" width="14.28515625" style="1" customWidth="1"/>
    <col min="16" max="16" width="12.42578125" style="1" customWidth="1"/>
    <col min="17" max="17" width="11.28515625" style="1" customWidth="1"/>
    <col min="18" max="18" width="10.28515625" style="1" customWidth="1"/>
    <col min="19" max="19" width="20.5703125" style="1" bestFit="1" customWidth="1"/>
    <col min="20" max="20" width="11.140625" style="1" customWidth="1"/>
    <col min="21" max="21" width="12.140625" style="1" customWidth="1"/>
    <col min="22" max="22" width="14.7109375" style="1" customWidth="1"/>
    <col min="23" max="26" width="14.85546875" style="1" customWidth="1"/>
    <col min="27" max="30" width="9.140625" style="1"/>
    <col min="31" max="31" width="21.5703125" style="348" bestFit="1" customWidth="1"/>
    <col min="32" max="32" width="12" style="348" bestFit="1" customWidth="1"/>
    <col min="33" max="33" width="13.7109375" style="348" bestFit="1" customWidth="1"/>
    <col min="34" max="34" width="20.42578125" style="348" bestFit="1" customWidth="1"/>
    <col min="35" max="35" width="11.28515625" style="348" bestFit="1" customWidth="1"/>
    <col min="36" max="36" width="19.140625" style="348" bestFit="1" customWidth="1"/>
    <col min="37" max="37" width="1.7109375" style="348" customWidth="1"/>
    <col min="38" max="38" width="21.5703125" style="348" hidden="1" customWidth="1"/>
    <col min="39" max="39" width="28" style="348" bestFit="1" customWidth="1"/>
    <col min="40" max="40" width="9.7109375" style="348" bestFit="1" customWidth="1"/>
    <col min="41" max="41" width="14.85546875" style="348" bestFit="1" customWidth="1"/>
    <col min="42" max="42" width="9.140625" style="348"/>
    <col min="43" max="16384" width="9.140625" style="1"/>
  </cols>
  <sheetData>
    <row r="2" spans="1:42" ht="15.75" thickBot="1"/>
    <row r="3" spans="1:42">
      <c r="AE3" s="349" t="s">
        <v>6</v>
      </c>
      <c r="AF3" s="350" t="s">
        <v>512</v>
      </c>
      <c r="AG3" s="351"/>
      <c r="AH3" s="351"/>
      <c r="AI3" s="351"/>
      <c r="AJ3" s="352"/>
      <c r="AM3" s="353" t="s">
        <v>513</v>
      </c>
      <c r="AN3" s="354"/>
      <c r="AO3" s="355"/>
    </row>
    <row r="4" spans="1:42" s="5" customFormat="1" ht="19.5" customHeight="1">
      <c r="C4" s="3" t="s">
        <v>6</v>
      </c>
      <c r="D4" s="23" t="s">
        <v>16</v>
      </c>
      <c r="E4" s="14"/>
      <c r="F4" s="23" t="s">
        <v>8</v>
      </c>
      <c r="G4" s="14"/>
      <c r="H4" s="23" t="s">
        <v>10</v>
      </c>
      <c r="I4" s="46"/>
      <c r="J4" s="46"/>
      <c r="K4" s="14"/>
      <c r="L4" s="23" t="s">
        <v>9</v>
      </c>
      <c r="M4" s="14"/>
      <c r="N4" s="23" t="s">
        <v>43</v>
      </c>
      <c r="O4" s="46"/>
      <c r="P4" s="46"/>
      <c r="Q4" s="46"/>
      <c r="R4" s="24"/>
      <c r="S4" s="71" t="s">
        <v>44</v>
      </c>
      <c r="T4" s="23" t="s">
        <v>47</v>
      </c>
      <c r="U4" s="14"/>
      <c r="V4" s="1896"/>
      <c r="W4" s="1897"/>
      <c r="AE4" s="349" t="s">
        <v>20</v>
      </c>
      <c r="AF4" s="405" t="s">
        <v>23</v>
      </c>
      <c r="AG4" s="406" t="s">
        <v>23</v>
      </c>
      <c r="AH4" s="406" t="s">
        <v>32</v>
      </c>
      <c r="AI4" s="406" t="s">
        <v>18</v>
      </c>
      <c r="AJ4" s="407" t="s">
        <v>514</v>
      </c>
      <c r="AK4" s="356"/>
      <c r="AL4" s="357" t="s">
        <v>1</v>
      </c>
      <c r="AM4" s="402" t="s">
        <v>50</v>
      </c>
      <c r="AN4" s="403"/>
      <c r="AO4" s="404"/>
      <c r="AP4" s="348"/>
    </row>
    <row r="5" spans="1:42" s="5" customFormat="1" ht="36" customHeight="1">
      <c r="C5" s="4" t="s">
        <v>20</v>
      </c>
      <c r="D5" s="72" t="s">
        <v>18</v>
      </c>
      <c r="E5" s="73" t="s">
        <v>23</v>
      </c>
      <c r="F5" s="73" t="s">
        <v>23</v>
      </c>
      <c r="G5" s="73" t="s">
        <v>23</v>
      </c>
      <c r="H5" s="73" t="s">
        <v>23</v>
      </c>
      <c r="I5" s="73" t="s">
        <v>23</v>
      </c>
      <c r="J5" s="73" t="s">
        <v>23</v>
      </c>
      <c r="K5" s="73" t="s">
        <v>32</v>
      </c>
      <c r="L5" s="73" t="s">
        <v>33</v>
      </c>
      <c r="M5" s="73" t="s">
        <v>23</v>
      </c>
      <c r="N5" s="73" t="s">
        <v>33</v>
      </c>
      <c r="O5" s="73" t="s">
        <v>42</v>
      </c>
      <c r="P5" s="73" t="s">
        <v>33</v>
      </c>
      <c r="Q5" s="73" t="s">
        <v>42</v>
      </c>
      <c r="R5" s="73" t="s">
        <v>32</v>
      </c>
      <c r="S5" s="72" t="s">
        <v>18</v>
      </c>
      <c r="T5" s="73"/>
      <c r="U5" s="73" t="s">
        <v>23</v>
      </c>
      <c r="V5" s="74" t="s">
        <v>36</v>
      </c>
      <c r="W5" s="73" t="s">
        <v>36</v>
      </c>
      <c r="X5" s="73" t="s">
        <v>36</v>
      </c>
      <c r="Y5" s="73" t="s">
        <v>36</v>
      </c>
      <c r="Z5" s="73" t="s">
        <v>36</v>
      </c>
      <c r="AE5" s="349" t="s">
        <v>1</v>
      </c>
      <c r="AF5" s="408" t="s">
        <v>15</v>
      </c>
      <c r="AG5" s="409" t="s">
        <v>515</v>
      </c>
      <c r="AH5" s="409" t="s">
        <v>516</v>
      </c>
      <c r="AI5" s="409" t="s">
        <v>17</v>
      </c>
      <c r="AJ5" s="410" t="s">
        <v>517</v>
      </c>
      <c r="AK5" s="356"/>
      <c r="AL5" s="357" t="s">
        <v>518</v>
      </c>
      <c r="AM5" s="358" t="s">
        <v>61</v>
      </c>
      <c r="AN5" s="359" t="s">
        <v>519</v>
      </c>
      <c r="AO5" s="360" t="s">
        <v>520</v>
      </c>
      <c r="AP5" s="348"/>
    </row>
    <row r="6" spans="1:42" s="5" customFormat="1" ht="19.5" customHeight="1">
      <c r="C6" s="4" t="s">
        <v>1</v>
      </c>
      <c r="D6" s="47" t="s">
        <v>17</v>
      </c>
      <c r="E6" s="88" t="s">
        <v>15</v>
      </c>
      <c r="F6" s="47" t="s">
        <v>5</v>
      </c>
      <c r="G6" s="88" t="s">
        <v>15</v>
      </c>
      <c r="H6" s="47" t="s">
        <v>5</v>
      </c>
      <c r="I6" s="88" t="s">
        <v>15</v>
      </c>
      <c r="J6" s="47" t="s">
        <v>30</v>
      </c>
      <c r="K6" s="47" t="s">
        <v>31</v>
      </c>
      <c r="L6" s="47" t="s">
        <v>4</v>
      </c>
      <c r="M6" s="88" t="s">
        <v>15</v>
      </c>
      <c r="N6" s="47" t="s">
        <v>4</v>
      </c>
      <c r="O6" s="47" t="s">
        <v>40</v>
      </c>
      <c r="P6" s="47" t="s">
        <v>35</v>
      </c>
      <c r="Q6" s="47" t="s">
        <v>45</v>
      </c>
      <c r="R6" s="47" t="s">
        <v>31</v>
      </c>
      <c r="S6" s="47" t="s">
        <v>17</v>
      </c>
      <c r="T6" s="47" t="s">
        <v>48</v>
      </c>
      <c r="U6" s="88" t="s">
        <v>15</v>
      </c>
      <c r="V6" s="10" t="s">
        <v>60</v>
      </c>
      <c r="W6" s="10" t="s">
        <v>60</v>
      </c>
      <c r="X6" s="47" t="s">
        <v>61</v>
      </c>
      <c r="Y6" s="47" t="s">
        <v>61</v>
      </c>
      <c r="Z6" s="47" t="s">
        <v>61</v>
      </c>
      <c r="AE6" s="349"/>
      <c r="AF6" s="361" t="s">
        <v>521</v>
      </c>
      <c r="AG6" s="362" t="s">
        <v>522</v>
      </c>
      <c r="AH6" s="362" t="s">
        <v>523</v>
      </c>
      <c r="AI6" s="362" t="s">
        <v>521</v>
      </c>
      <c r="AJ6" s="363" t="s">
        <v>524</v>
      </c>
      <c r="AK6" s="356"/>
      <c r="AL6" s="357"/>
      <c r="AM6" s="364" t="s">
        <v>521</v>
      </c>
      <c r="AN6" s="365" t="s">
        <v>525</v>
      </c>
      <c r="AO6" s="366" t="s">
        <v>521</v>
      </c>
      <c r="AP6" s="348"/>
    </row>
    <row r="7" spans="1:42" s="5" customFormat="1" ht="24" customHeight="1">
      <c r="A7" s="2">
        <v>31</v>
      </c>
      <c r="B7" s="2">
        <v>9.6</v>
      </c>
      <c r="C7" s="4" t="s">
        <v>21</v>
      </c>
      <c r="D7" s="48" t="s">
        <v>19</v>
      </c>
      <c r="E7" s="48" t="s">
        <v>27</v>
      </c>
      <c r="F7" s="48" t="s">
        <v>28</v>
      </c>
      <c r="G7" s="48" t="s">
        <v>27</v>
      </c>
      <c r="H7" s="48" t="s">
        <v>28</v>
      </c>
      <c r="I7" s="48" t="s">
        <v>27</v>
      </c>
      <c r="J7" s="48"/>
      <c r="K7" s="48" t="s">
        <v>46</v>
      </c>
      <c r="L7" s="48" t="s">
        <v>34</v>
      </c>
      <c r="M7" s="48" t="s">
        <v>27</v>
      </c>
      <c r="N7" s="75" t="s">
        <v>34</v>
      </c>
      <c r="O7" s="75" t="s">
        <v>41</v>
      </c>
      <c r="P7" s="48"/>
      <c r="Q7" s="48"/>
      <c r="R7" s="48"/>
      <c r="S7" s="48" t="s">
        <v>19</v>
      </c>
      <c r="T7" s="48" t="s">
        <v>49</v>
      </c>
      <c r="U7" s="48" t="s">
        <v>27</v>
      </c>
      <c r="V7" s="40" t="s">
        <v>38</v>
      </c>
      <c r="W7" s="48" t="s">
        <v>38</v>
      </c>
      <c r="X7" s="48" t="s">
        <v>59</v>
      </c>
      <c r="Y7" s="48" t="s">
        <v>59</v>
      </c>
      <c r="Z7" s="48" t="s">
        <v>59</v>
      </c>
      <c r="AE7" s="349" t="s">
        <v>21</v>
      </c>
      <c r="AF7" s="367" t="s">
        <v>27</v>
      </c>
      <c r="AG7" s="368" t="s">
        <v>526</v>
      </c>
      <c r="AH7" s="368"/>
      <c r="AI7" s="368" t="s">
        <v>19</v>
      </c>
      <c r="AJ7" s="369"/>
      <c r="AK7" s="356"/>
      <c r="AL7" s="357" t="s">
        <v>527</v>
      </c>
      <c r="AM7" s="370" t="s">
        <v>528</v>
      </c>
      <c r="AN7" s="356" t="s">
        <v>529</v>
      </c>
      <c r="AO7" s="371" t="s">
        <v>530</v>
      </c>
      <c r="AP7" s="348"/>
    </row>
    <row r="8" spans="1:42" s="5" customFormat="1" ht="19.5" customHeight="1">
      <c r="A8" s="6">
        <f>(A7*10000)</f>
        <v>310000</v>
      </c>
      <c r="B8" s="6">
        <f>(B7*10000)</f>
        <v>96000</v>
      </c>
      <c r="C8" s="4" t="s">
        <v>13</v>
      </c>
      <c r="D8" s="49">
        <f>1820/10</f>
        <v>182</v>
      </c>
      <c r="E8" s="49">
        <v>425</v>
      </c>
      <c r="F8" s="49">
        <v>107</v>
      </c>
      <c r="G8" s="49">
        <v>425</v>
      </c>
      <c r="H8" s="49">
        <v>107</v>
      </c>
      <c r="I8" s="49">
        <v>425</v>
      </c>
      <c r="J8" s="49">
        <v>127</v>
      </c>
      <c r="K8" s="49">
        <f>825/20</f>
        <v>41.25</v>
      </c>
      <c r="L8" s="49">
        <v>120</v>
      </c>
      <c r="M8" s="49">
        <v>425</v>
      </c>
      <c r="N8" s="49">
        <v>120</v>
      </c>
      <c r="O8" s="49">
        <v>160</v>
      </c>
      <c r="P8" s="62">
        <v>375</v>
      </c>
      <c r="Q8" s="49">
        <v>180</v>
      </c>
      <c r="R8" s="49">
        <f>825/20</f>
        <v>41.25</v>
      </c>
      <c r="S8" s="49">
        <f>1820/10</f>
        <v>182</v>
      </c>
      <c r="T8" s="62">
        <f>(49.78*20.5)/50</f>
        <v>20.409800000000001</v>
      </c>
      <c r="U8" s="49">
        <v>425</v>
      </c>
      <c r="V8" s="11">
        <v>40</v>
      </c>
      <c r="W8" s="49">
        <v>40</v>
      </c>
      <c r="X8" s="49">
        <v>40</v>
      </c>
      <c r="Y8" s="49">
        <v>40</v>
      </c>
      <c r="Z8" s="49">
        <v>40</v>
      </c>
      <c r="AE8" s="349" t="s">
        <v>139</v>
      </c>
      <c r="AF8" s="367">
        <v>1.1000000000000001</v>
      </c>
      <c r="AG8" s="368">
        <v>1.1200000000000001</v>
      </c>
      <c r="AH8" s="368"/>
      <c r="AI8" s="368">
        <v>1.1000000000000001</v>
      </c>
      <c r="AJ8" s="369"/>
      <c r="AK8" s="356"/>
      <c r="AL8" s="357" t="s">
        <v>139</v>
      </c>
      <c r="AM8" s="370"/>
      <c r="AN8" s="372"/>
      <c r="AO8" s="373">
        <v>1.05</v>
      </c>
      <c r="AP8" s="348"/>
    </row>
    <row r="9" spans="1:42" s="5" customFormat="1" ht="19.5" customHeight="1">
      <c r="A9" s="2">
        <f>(D9*A8)/1000</f>
        <v>1860</v>
      </c>
      <c r="B9" s="2">
        <f>(E9*B8)/1000</f>
        <v>480</v>
      </c>
      <c r="C9" s="4" t="s">
        <v>24</v>
      </c>
      <c r="D9" s="50">
        <f>(D11/D10)*1000</f>
        <v>6</v>
      </c>
      <c r="E9" s="50">
        <f>(E11/D10)*1000</f>
        <v>5</v>
      </c>
      <c r="F9" s="50">
        <f>(F11/F10)*1000</f>
        <v>7.5</v>
      </c>
      <c r="G9" s="50">
        <f>(G11/F10)*1000</f>
        <v>2</v>
      </c>
      <c r="H9" s="50">
        <f>(H11/H10)*1000</f>
        <v>7.5</v>
      </c>
      <c r="I9" s="50">
        <f>(I11/H10)*1000</f>
        <v>5</v>
      </c>
      <c r="J9" s="50">
        <f>(J11/H10)*1000</f>
        <v>10</v>
      </c>
      <c r="K9" s="50">
        <f>(K11/H10)*1000</f>
        <v>10</v>
      </c>
      <c r="L9" s="50">
        <f>(L11/L10)*1000</f>
        <v>10</v>
      </c>
      <c r="M9" s="50">
        <f>(M11/L10)*1000</f>
        <v>2.5</v>
      </c>
      <c r="N9" s="50">
        <f>(N11/N10)*1000</f>
        <v>2</v>
      </c>
      <c r="O9" s="50">
        <f>(O11/N10)*1000</f>
        <v>2</v>
      </c>
      <c r="P9" s="63">
        <f>(P11/N10)*1000</f>
        <v>5</v>
      </c>
      <c r="Q9" s="50">
        <f>(Q11/N10)*1000</f>
        <v>2</v>
      </c>
      <c r="R9" s="50">
        <f>(R11/N10)*1000</f>
        <v>4</v>
      </c>
      <c r="S9" s="50">
        <f>(S11/S10)*1000</f>
        <v>4</v>
      </c>
      <c r="T9" s="63">
        <f>(T11/T10)*1000</f>
        <v>10</v>
      </c>
      <c r="U9" s="50">
        <f>(U11/T10)*1000</f>
        <v>15</v>
      </c>
      <c r="V9" s="12">
        <f>(V11/V10)*1000</f>
        <v>30</v>
      </c>
      <c r="W9" s="50">
        <f>(W11/W10)*1000</f>
        <v>30</v>
      </c>
      <c r="X9" s="50">
        <f>(X11/X10)*1000</f>
        <v>30</v>
      </c>
      <c r="Y9" s="50">
        <f>(Y11/Y10)*1000</f>
        <v>150</v>
      </c>
      <c r="Z9" s="91">
        <f>30</f>
        <v>30</v>
      </c>
      <c r="AE9" s="349" t="s">
        <v>13</v>
      </c>
      <c r="AF9" s="374">
        <v>425</v>
      </c>
      <c r="AG9" s="375">
        <v>127</v>
      </c>
      <c r="AH9" s="375">
        <v>41.25</v>
      </c>
      <c r="AI9" s="375">
        <v>182</v>
      </c>
      <c r="AJ9" s="376">
        <v>214.73</v>
      </c>
      <c r="AK9" s="356"/>
      <c r="AL9" s="357" t="s">
        <v>13</v>
      </c>
      <c r="AM9" s="377"/>
      <c r="AN9" s="348"/>
      <c r="AO9" s="378"/>
      <c r="AP9" s="348"/>
    </row>
    <row r="10" spans="1:42" s="5" customFormat="1" ht="19.5" customHeight="1" thickBot="1">
      <c r="A10" s="2">
        <f>(D9*(31*10000)/1000)</f>
        <v>1860</v>
      </c>
      <c r="B10" s="2">
        <f>(E9*(9.6*10000)/1000)</f>
        <v>480</v>
      </c>
      <c r="C10" s="4" t="s">
        <v>22</v>
      </c>
      <c r="D10" s="51">
        <v>2000</v>
      </c>
      <c r="E10" s="51"/>
      <c r="F10" s="51">
        <v>2000</v>
      </c>
      <c r="G10" s="51"/>
      <c r="H10" s="51">
        <v>2000</v>
      </c>
      <c r="I10" s="51"/>
      <c r="J10" s="51"/>
      <c r="K10" s="51"/>
      <c r="L10" s="51">
        <v>2000</v>
      </c>
      <c r="M10" s="51"/>
      <c r="N10" s="51">
        <v>1000</v>
      </c>
      <c r="O10" s="51"/>
      <c r="P10" s="51"/>
      <c r="Q10" s="51"/>
      <c r="R10" s="51"/>
      <c r="S10" s="51">
        <v>2000</v>
      </c>
      <c r="T10" s="51">
        <v>2000</v>
      </c>
      <c r="U10" s="51"/>
      <c r="V10" s="41">
        <v>2000</v>
      </c>
      <c r="W10" s="51">
        <v>2000</v>
      </c>
      <c r="X10" s="51">
        <v>2000</v>
      </c>
      <c r="Y10" s="89">
        <v>200</v>
      </c>
      <c r="Z10" s="51"/>
      <c r="AE10" s="349" t="s">
        <v>531</v>
      </c>
      <c r="AF10" s="379">
        <v>2.5</v>
      </c>
      <c r="AG10" s="380">
        <v>5</v>
      </c>
      <c r="AH10" s="380">
        <v>7.5</v>
      </c>
      <c r="AI10" s="380">
        <v>15</v>
      </c>
      <c r="AJ10" s="381">
        <v>2.5</v>
      </c>
      <c r="AK10" s="356"/>
      <c r="AL10" s="357" t="s">
        <v>531</v>
      </c>
      <c r="AM10" s="382">
        <f>AM12/AM11</f>
        <v>0.15</v>
      </c>
      <c r="AN10" s="383">
        <f>AN12/AM11</f>
        <v>0.06</v>
      </c>
      <c r="AO10" s="384">
        <f>AO12/AM11</f>
        <v>0.375</v>
      </c>
      <c r="AP10" s="348"/>
    </row>
    <row r="11" spans="1:42" s="5" customFormat="1" ht="19.5" customHeight="1" thickBot="1">
      <c r="B11" s="3"/>
      <c r="C11" s="4" t="s">
        <v>29</v>
      </c>
      <c r="D11" s="52">
        <v>12</v>
      </c>
      <c r="E11" s="52">
        <v>10</v>
      </c>
      <c r="F11" s="52">
        <v>15</v>
      </c>
      <c r="G11" s="52">
        <v>4</v>
      </c>
      <c r="H11" s="52">
        <v>15</v>
      </c>
      <c r="I11" s="52">
        <v>10</v>
      </c>
      <c r="J11" s="52">
        <v>20</v>
      </c>
      <c r="K11" s="52">
        <v>20</v>
      </c>
      <c r="L11" s="52">
        <v>20</v>
      </c>
      <c r="M11" s="52">
        <v>5</v>
      </c>
      <c r="N11" s="52">
        <v>2</v>
      </c>
      <c r="O11" s="52">
        <v>2</v>
      </c>
      <c r="P11" s="64">
        <v>5</v>
      </c>
      <c r="Q11" s="52">
        <v>2</v>
      </c>
      <c r="R11" s="52">
        <v>4</v>
      </c>
      <c r="S11" s="52">
        <v>8</v>
      </c>
      <c r="T11" s="64">
        <v>20</v>
      </c>
      <c r="U11" s="52">
        <v>30</v>
      </c>
      <c r="V11" s="42">
        <v>60</v>
      </c>
      <c r="W11" s="52">
        <v>60</v>
      </c>
      <c r="X11" s="52">
        <v>60</v>
      </c>
      <c r="Y11" s="52">
        <v>30</v>
      </c>
      <c r="Z11" s="52"/>
      <c r="AE11" s="349" t="s">
        <v>22</v>
      </c>
      <c r="AF11" s="1898">
        <v>200</v>
      </c>
      <c r="AG11" s="1899"/>
      <c r="AH11" s="1899"/>
      <c r="AI11" s="1899"/>
      <c r="AJ11" s="1900"/>
      <c r="AK11" s="356"/>
      <c r="AL11" s="357" t="s">
        <v>22</v>
      </c>
      <c r="AM11" s="1898">
        <v>200</v>
      </c>
      <c r="AN11" s="1899"/>
      <c r="AO11" s="1900"/>
      <c r="AP11" s="348"/>
    </row>
    <row r="12" spans="1:42" s="5" customFormat="1" ht="32.25" customHeight="1">
      <c r="B12" s="3"/>
      <c r="C12" s="4"/>
      <c r="D12" s="37" t="s">
        <v>37</v>
      </c>
      <c r="E12" s="37"/>
      <c r="F12" s="37" t="s">
        <v>37</v>
      </c>
      <c r="G12" s="37"/>
      <c r="H12" s="38" t="s">
        <v>37</v>
      </c>
      <c r="I12" s="53"/>
      <c r="J12" s="53"/>
      <c r="K12" s="39"/>
      <c r="L12" s="37" t="s">
        <v>37</v>
      </c>
      <c r="M12" s="37"/>
      <c r="N12" s="38" t="s">
        <v>37</v>
      </c>
      <c r="O12" s="53"/>
      <c r="P12" s="53"/>
      <c r="Q12" s="53"/>
      <c r="R12" s="39"/>
      <c r="S12" s="36" t="s">
        <v>37</v>
      </c>
      <c r="T12" s="37" t="s">
        <v>37</v>
      </c>
      <c r="U12" s="37"/>
      <c r="V12" s="35" t="s">
        <v>37</v>
      </c>
      <c r="W12" s="36" t="s">
        <v>39</v>
      </c>
      <c r="X12" s="36" t="s">
        <v>39</v>
      </c>
      <c r="Y12" s="36" t="s">
        <v>39</v>
      </c>
      <c r="Z12" s="36" t="s">
        <v>39</v>
      </c>
      <c r="AE12" s="349" t="s">
        <v>29</v>
      </c>
      <c r="AF12" s="385">
        <f>AF10*AF11</f>
        <v>500</v>
      </c>
      <c r="AG12" s="386">
        <f>AG10*AF11</f>
        <v>1000</v>
      </c>
      <c r="AH12" s="386">
        <f>AH10*AF11</f>
        <v>1500</v>
      </c>
      <c r="AI12" s="386">
        <f>AI10*AF11</f>
        <v>3000</v>
      </c>
      <c r="AJ12" s="387">
        <f>AJ10*AF11</f>
        <v>500</v>
      </c>
      <c r="AK12" s="356"/>
      <c r="AL12" s="357" t="s">
        <v>29</v>
      </c>
      <c r="AM12" s="388">
        <v>30</v>
      </c>
      <c r="AN12" s="389">
        <v>12</v>
      </c>
      <c r="AO12" s="390">
        <v>75</v>
      </c>
      <c r="AP12" s="348"/>
    </row>
    <row r="13" spans="1:42" s="5" customFormat="1" ht="19.5" customHeight="1" thickBot="1">
      <c r="B13" s="3"/>
      <c r="C13" s="26"/>
      <c r="D13" s="43">
        <v>0.5</v>
      </c>
      <c r="E13" s="44"/>
      <c r="F13" s="43">
        <v>0.5</v>
      </c>
      <c r="G13" s="44"/>
      <c r="H13" s="43">
        <v>0.5</v>
      </c>
      <c r="I13" s="43"/>
      <c r="J13" s="43"/>
      <c r="K13" s="44"/>
      <c r="L13" s="43">
        <v>0.5</v>
      </c>
      <c r="M13" s="44"/>
      <c r="N13" s="43">
        <v>0.5</v>
      </c>
      <c r="O13" s="43"/>
      <c r="P13" s="43"/>
      <c r="Q13" s="43"/>
      <c r="R13" s="44"/>
      <c r="S13" s="43">
        <v>0.5</v>
      </c>
      <c r="T13" s="43">
        <v>0.5</v>
      </c>
      <c r="U13" s="44"/>
      <c r="V13" s="45">
        <v>0.5</v>
      </c>
      <c r="W13" s="43">
        <v>1</v>
      </c>
      <c r="X13" s="43">
        <v>1</v>
      </c>
      <c r="Y13" s="43">
        <v>0.2</v>
      </c>
      <c r="Z13" s="90">
        <f>30</f>
        <v>30</v>
      </c>
      <c r="AE13" s="349"/>
      <c r="AF13" s="391">
        <f>(AF9*(AF12/1000))</f>
        <v>212.5</v>
      </c>
      <c r="AG13" s="392">
        <f>(AG9*(AG12/1000))</f>
        <v>127</v>
      </c>
      <c r="AH13" s="392">
        <f>(AH9*(AH12/1000))</f>
        <v>61.875</v>
      </c>
      <c r="AI13" s="392">
        <f>(AI9*(AI12/1000))</f>
        <v>546</v>
      </c>
      <c r="AJ13" s="393">
        <f>(AJ9*(AJ12/1000))</f>
        <v>107.36499999999999</v>
      </c>
      <c r="AK13" s="356"/>
      <c r="AL13" s="357"/>
      <c r="AM13" s="377"/>
      <c r="AN13" s="348"/>
      <c r="AO13" s="378"/>
      <c r="AP13" s="348"/>
    </row>
    <row r="14" spans="1:42" s="5" customFormat="1" ht="19.5" customHeight="1" thickBot="1">
      <c r="B14" s="3"/>
      <c r="C14" s="4" t="s">
        <v>26</v>
      </c>
      <c r="D14" s="17">
        <f>((D9*(8*10000)/1000)+(E9*(12*10000)/1000))*D13</f>
        <v>540</v>
      </c>
      <c r="E14" s="18"/>
      <c r="F14" s="17">
        <f>((F9*(8*10000)/1000)+(G9*(12*10000)/1000))*F13</f>
        <v>420</v>
      </c>
      <c r="G14" s="18"/>
      <c r="H14" s="17">
        <f>((H9*(8*10000)/1000)+(I9*(12*10000)/1000))*H13</f>
        <v>600</v>
      </c>
      <c r="I14" s="54"/>
      <c r="J14" s="54"/>
      <c r="K14" s="18"/>
      <c r="L14" s="17">
        <f>((L9*(8.47*10000)/1000)+(M9*(12*10000)/1000))*L13</f>
        <v>573.5</v>
      </c>
      <c r="M14" s="18"/>
      <c r="N14" s="17">
        <f>((N9*(8.47*10000)/1000)+(O9*(0.81*10000)/1000))*N13</f>
        <v>92.800000000000011</v>
      </c>
      <c r="O14" s="54"/>
      <c r="P14" s="54"/>
      <c r="Q14" s="54"/>
      <c r="R14" s="18"/>
      <c r="S14" s="65">
        <f>((S9*(8*10000)/1000))*S13</f>
        <v>160</v>
      </c>
      <c r="T14" s="17">
        <f>((T9*(18*10000)/1000)+(U9*(12*10000)/1000))*T13</f>
        <v>1800</v>
      </c>
      <c r="U14" s="18"/>
      <c r="V14" s="18">
        <f>((V9*(3.24*10000)/1000))*V13</f>
        <v>486.00000000000006</v>
      </c>
      <c r="W14" s="65">
        <f>((W9*(3.24*10000)/1000))*W13</f>
        <v>972.00000000000011</v>
      </c>
      <c r="X14" s="65">
        <f>((X9*(1.8*10000)/1000))*X13</f>
        <v>540</v>
      </c>
      <c r="Y14" s="65">
        <f>((Y9*(1.8*10000)/1000))*Y13</f>
        <v>540</v>
      </c>
      <c r="Z14" s="65">
        <f>((1.8*10000)*(Z13/1000))</f>
        <v>540</v>
      </c>
      <c r="AE14" s="349" t="s">
        <v>532</v>
      </c>
      <c r="AF14" s="394">
        <f>SUM(AF13:AJ13)/AF11</f>
        <v>5.2736999999999998</v>
      </c>
      <c r="AG14" s="395"/>
      <c r="AH14" s="395"/>
      <c r="AI14" s="395"/>
      <c r="AJ14" s="396"/>
      <c r="AK14" s="356"/>
      <c r="AL14" s="357" t="s">
        <v>532</v>
      </c>
      <c r="AM14" s="1901">
        <v>40</v>
      </c>
      <c r="AN14" s="1902"/>
      <c r="AO14" s="1903"/>
      <c r="AP14" s="348"/>
    </row>
    <row r="15" spans="1:42" s="5" customFormat="1" ht="19.5" customHeight="1">
      <c r="B15" s="3"/>
      <c r="C15" s="4" t="s">
        <v>25</v>
      </c>
      <c r="D15" s="25">
        <f>((D9*(31*10000)/1000)+(E9*(9.6*10000)/1000))*D13</f>
        <v>1170</v>
      </c>
      <c r="E15" s="18"/>
      <c r="F15" s="25">
        <f>((F9*(24*10000)/1000)+(G9*(9.6*10000)/1000))*F13</f>
        <v>996</v>
      </c>
      <c r="G15" s="18"/>
      <c r="H15" s="25">
        <f>((H9*(24*10000)/1000)+(I9*(9.6*10000)/1000))*H13</f>
        <v>1140</v>
      </c>
      <c r="I15" s="54"/>
      <c r="J15" s="54"/>
      <c r="K15" s="18"/>
      <c r="L15" s="25">
        <f>((L9*(24.6*10000)/1000)+(M9*(9.6*10000)/1000))*L13</f>
        <v>1350</v>
      </c>
      <c r="M15" s="18"/>
      <c r="N15" s="25">
        <f>((N9*(24.6*10000)/1000)+(O9*(0.124*10000)/1000))*N13</f>
        <v>247.24</v>
      </c>
      <c r="O15" s="54"/>
      <c r="P15" s="54"/>
      <c r="Q15" s="54"/>
      <c r="R15" s="18"/>
      <c r="S15" s="66">
        <f>((S9*(31*10000)/1000))*S13</f>
        <v>620</v>
      </c>
      <c r="T15" s="25">
        <f>((T9*(46*10000)/1000)+(U9*(9.6*10000)/1000))*T13</f>
        <v>3020</v>
      </c>
      <c r="U15" s="18"/>
      <c r="V15" s="32">
        <f>((V9*(8.28*10000)/1000))*V13</f>
        <v>1242</v>
      </c>
      <c r="W15" s="65">
        <f>((W9*(8.28*10000)/1000))*W13</f>
        <v>2484</v>
      </c>
      <c r="X15" s="65">
        <f>((X9*(9.15*10000)/1000))*X13</f>
        <v>2745</v>
      </c>
      <c r="Y15" s="65">
        <f>((Y9*(9.15*10000)/1000))*Y13</f>
        <v>2745</v>
      </c>
      <c r="Z15" s="65">
        <f>((9.15*10000))*(Z13/1000)</f>
        <v>2745</v>
      </c>
      <c r="AE15" s="349" t="s">
        <v>533</v>
      </c>
      <c r="AF15" s="1904">
        <v>30</v>
      </c>
      <c r="AG15" s="1905"/>
      <c r="AH15" s="1906">
        <f>(AF14/1000)*AF15</f>
        <v>0.15821099999999999</v>
      </c>
      <c r="AI15" s="1907"/>
      <c r="AJ15" s="1908"/>
      <c r="AK15" s="356"/>
      <c r="AL15" s="357" t="s">
        <v>533</v>
      </c>
      <c r="AM15" s="397">
        <v>7.5</v>
      </c>
      <c r="AN15" s="1909">
        <f>(AM14/1000)*AM15</f>
        <v>0.3</v>
      </c>
      <c r="AO15" s="1910"/>
      <c r="AP15" s="348"/>
    </row>
    <row r="16" spans="1:42" s="5" customFormat="1" ht="19.5" hidden="1" customHeight="1">
      <c r="B16" s="3"/>
      <c r="C16" s="4" t="s">
        <v>11</v>
      </c>
      <c r="D16" s="55">
        <f>ROUNDDOWN((10000/(4*7)),0)</f>
        <v>357</v>
      </c>
      <c r="E16" s="55"/>
      <c r="F16" s="55">
        <f>ROUNDDOWN((10000/(4*7)),0)</f>
        <v>357</v>
      </c>
      <c r="G16" s="55"/>
      <c r="H16" s="55">
        <f>ROUNDDOWN((10000/(4*7)),0)</f>
        <v>357</v>
      </c>
      <c r="I16" s="55"/>
      <c r="J16" s="55"/>
      <c r="K16" s="55"/>
      <c r="L16" s="55">
        <f>ROUNDDOWN((10000/(4*7)),0)</f>
        <v>357</v>
      </c>
      <c r="M16" s="55"/>
      <c r="N16" s="55">
        <f>ROUNDDOWN((10000/(4*7)),0)</f>
        <v>357</v>
      </c>
      <c r="O16" s="55"/>
      <c r="P16" s="55"/>
      <c r="Q16" s="55"/>
      <c r="R16" s="55"/>
      <c r="S16" s="55">
        <f>ROUNDDOWN((10000/(4*7)),0)</f>
        <v>357</v>
      </c>
      <c r="T16" s="55">
        <f>ROUNDDOWN((10000/(4*7)),0)</f>
        <v>357</v>
      </c>
      <c r="U16" s="55"/>
      <c r="V16" s="14">
        <f>ROUNDDOWN((10000/(4*7)),0)</f>
        <v>357</v>
      </c>
      <c r="W16" s="55">
        <f>ROUNDDOWN((10000/(4*7)),0)</f>
        <v>357</v>
      </c>
      <c r="X16" s="55">
        <f>ROUNDDOWN((10000/(4*7)),0)</f>
        <v>357</v>
      </c>
      <c r="Y16" s="55">
        <f>ROUNDDOWN((10000/(4*7)),0)</f>
        <v>357</v>
      </c>
      <c r="Z16" s="55">
        <f>ROUNDDOWN((10000/(4*7)),0)</f>
        <v>357</v>
      </c>
      <c r="AE16" s="349" t="s">
        <v>26</v>
      </c>
      <c r="AF16" s="367">
        <f>(AF8*AF12/1000)*(12/100)</f>
        <v>6.6000000000000003E-2</v>
      </c>
      <c r="AG16" s="368" t="s">
        <v>534</v>
      </c>
      <c r="AH16" s="368" t="s">
        <v>534</v>
      </c>
      <c r="AI16" s="368">
        <f>(AI12*AI8/1000)*(8/100)</f>
        <v>0.26400000000000001</v>
      </c>
      <c r="AJ16" s="369" t="s">
        <v>534</v>
      </c>
      <c r="AK16" s="356"/>
      <c r="AL16" s="357" t="s">
        <v>535</v>
      </c>
      <c r="AM16" s="370">
        <f>(AM12*12/100)</f>
        <v>3.6</v>
      </c>
      <c r="AN16" s="372" t="s">
        <v>534</v>
      </c>
      <c r="AO16" s="398">
        <f>(AO12*AO8/1000)*(0.29/100)</f>
        <v>2.2837499999999998E-4</v>
      </c>
      <c r="AP16" s="348"/>
    </row>
    <row r="17" spans="2:42" s="5" customFormat="1" ht="19.5" hidden="1" customHeight="1">
      <c r="B17" s="3"/>
      <c r="C17" s="4" t="s">
        <v>12</v>
      </c>
      <c r="D17" s="56">
        <f>(D16*D13)</f>
        <v>178.5</v>
      </c>
      <c r="E17" s="55"/>
      <c r="F17" s="56">
        <f>(F16*F13)</f>
        <v>178.5</v>
      </c>
      <c r="G17" s="55"/>
      <c r="H17" s="56">
        <f>(H16*H13)</f>
        <v>178.5</v>
      </c>
      <c r="I17" s="56"/>
      <c r="J17" s="56"/>
      <c r="K17" s="55"/>
      <c r="L17" s="56">
        <f>(L16*L13)</f>
        <v>178.5</v>
      </c>
      <c r="M17" s="55"/>
      <c r="N17" s="56">
        <f>(N16*N13)</f>
        <v>178.5</v>
      </c>
      <c r="O17" s="56"/>
      <c r="P17" s="56"/>
      <c r="Q17" s="56"/>
      <c r="R17" s="55"/>
      <c r="S17" s="56">
        <f>(S16*S13)</f>
        <v>178.5</v>
      </c>
      <c r="T17" s="56">
        <f>(T16*T13)</f>
        <v>178.5</v>
      </c>
      <c r="U17" s="55"/>
      <c r="V17" s="15">
        <f>(V16*V13)</f>
        <v>178.5</v>
      </c>
      <c r="W17" s="56">
        <f>(W16*W13)</f>
        <v>357</v>
      </c>
      <c r="X17" s="56">
        <f>(X16*X13)</f>
        <v>357</v>
      </c>
      <c r="Y17" s="56">
        <f>(Y16*Y13)</f>
        <v>71.400000000000006</v>
      </c>
      <c r="Z17" s="56">
        <f>(Z16*Z13)/1000</f>
        <v>10.71</v>
      </c>
      <c r="AE17" s="349" t="s">
        <v>536</v>
      </c>
      <c r="AF17" s="367">
        <f>(AF8*AF12/1000)*(9.6/100)</f>
        <v>5.2800000000000007E-2</v>
      </c>
      <c r="AG17" s="368" t="s">
        <v>534</v>
      </c>
      <c r="AH17" s="368" t="s">
        <v>534</v>
      </c>
      <c r="AI17" s="368">
        <f>(AI8*AI12/1000)*(31/100)</f>
        <v>1.0230000000000001</v>
      </c>
      <c r="AJ17" s="369" t="s">
        <v>534</v>
      </c>
      <c r="AK17" s="356"/>
      <c r="AL17" s="357" t="s">
        <v>242</v>
      </c>
      <c r="AM17" s="370">
        <f>AM12*61/100</f>
        <v>18.3</v>
      </c>
      <c r="AN17" s="372" t="s">
        <v>534</v>
      </c>
      <c r="AO17" s="398"/>
      <c r="AP17" s="348"/>
    </row>
    <row r="18" spans="2:42" s="5" customFormat="1" ht="19.5" hidden="1" customHeight="1">
      <c r="B18" s="3"/>
      <c r="C18" s="27" t="s">
        <v>7</v>
      </c>
      <c r="D18" s="57">
        <f>(((D8*D11)+(E8*E11))*D17)/D10</f>
        <v>574.23450000000003</v>
      </c>
      <c r="E18" s="55"/>
      <c r="F18" s="57">
        <f>(((F8*F11)+(G8*G11))*F17)/F10</f>
        <v>294.97125</v>
      </c>
      <c r="G18" s="55"/>
      <c r="H18" s="57">
        <f>(((H8*H11)+(I8*I11)+(J8*J11)+(K8*K11))*H17)/H10</f>
        <v>822.88499999999999</v>
      </c>
      <c r="I18" s="57"/>
      <c r="J18" s="57"/>
      <c r="K18" s="55"/>
      <c r="L18" s="57">
        <f>(((L8*L11)+(M8*M11))*L17)/L10</f>
        <v>403.85624999999999</v>
      </c>
      <c r="M18" s="55"/>
      <c r="N18" s="57">
        <f>(((N8*N11)+(O8*O11)+(P8*P11)+(Q8*Q11)+(R8*R11))*N17)/N10</f>
        <v>528.36</v>
      </c>
      <c r="O18" s="57"/>
      <c r="P18" s="57"/>
      <c r="Q18" s="57"/>
      <c r="R18" s="55"/>
      <c r="S18" s="57">
        <f>(((S8*S11))*S17)/S10</f>
        <v>129.94800000000001</v>
      </c>
      <c r="T18" s="57">
        <f>(((T8*T11)+(U8*U11))*T17)/T10</f>
        <v>1174.368993</v>
      </c>
      <c r="U18" s="55"/>
      <c r="V18" s="16">
        <f>(((V8*V11))*V17)/V10</f>
        <v>214.2</v>
      </c>
      <c r="W18" s="57">
        <f>(((W8*W11))*W17)/W10</f>
        <v>428.4</v>
      </c>
      <c r="X18" s="57">
        <f>(((X8*X11))*X17)/X10</f>
        <v>428.4</v>
      </c>
      <c r="Y18" s="57">
        <f>(((Y8*Y11))*Y17)/Y10</f>
        <v>428.4</v>
      </c>
      <c r="Z18" s="57">
        <f>(((Z8*Z17)))</f>
        <v>428.40000000000003</v>
      </c>
      <c r="AE18" s="349" t="s">
        <v>537</v>
      </c>
      <c r="AF18" s="367" t="s">
        <v>534</v>
      </c>
      <c r="AG18" s="368" t="s">
        <v>534</v>
      </c>
      <c r="AH18" s="368" t="s">
        <v>534</v>
      </c>
      <c r="AI18" s="368">
        <f>(AI8*AI12/1000)*(4/100)</f>
        <v>0.13200000000000001</v>
      </c>
      <c r="AJ18" s="369" t="s">
        <v>534</v>
      </c>
      <c r="AK18" s="356"/>
      <c r="AL18" s="357" t="s">
        <v>538</v>
      </c>
      <c r="AM18" s="370" t="s">
        <v>534</v>
      </c>
      <c r="AN18" s="372" t="s">
        <v>534</v>
      </c>
      <c r="AO18" s="398">
        <f>(AO12*AO8/1000)*(0.22/100)</f>
        <v>1.7325000000000001E-4</v>
      </c>
      <c r="AP18" s="348"/>
    </row>
    <row r="19" spans="2:42" s="5" customFormat="1" ht="19.5" hidden="1" customHeight="1">
      <c r="B19" s="3"/>
      <c r="C19" s="27" t="s">
        <v>14</v>
      </c>
      <c r="D19" s="58">
        <f>(D18/D16)</f>
        <v>1.6085</v>
      </c>
      <c r="E19" s="67"/>
      <c r="F19" s="58">
        <f>(F18/F16)</f>
        <v>0.82625000000000004</v>
      </c>
      <c r="G19" s="67"/>
      <c r="H19" s="58">
        <f>(H18/H16)</f>
        <v>2.3050000000000002</v>
      </c>
      <c r="I19" s="58"/>
      <c r="J19" s="58"/>
      <c r="K19" s="67"/>
      <c r="L19" s="58">
        <f>(L18/L16)</f>
        <v>1.1312499999999999</v>
      </c>
      <c r="M19" s="67"/>
      <c r="N19" s="58">
        <f>(N18/N16)</f>
        <v>1.48</v>
      </c>
      <c r="O19" s="58"/>
      <c r="P19" s="58"/>
      <c r="Q19" s="58"/>
      <c r="R19" s="67"/>
      <c r="S19" s="58">
        <f>(S18/S16)</f>
        <v>0.36400000000000005</v>
      </c>
      <c r="T19" s="58">
        <f>(T18/T16)</f>
        <v>3.2895490000000001</v>
      </c>
      <c r="U19" s="67"/>
      <c r="V19" s="34">
        <f>(V18/V16)</f>
        <v>0.6</v>
      </c>
      <c r="W19" s="58">
        <f>(W18/W16)</f>
        <v>1.2</v>
      </c>
      <c r="X19" s="58">
        <f>(X18/X16)</f>
        <v>1.2</v>
      </c>
      <c r="Y19" s="58">
        <f>(Y18/Y16)</f>
        <v>1.2</v>
      </c>
      <c r="Z19" s="58">
        <f>(Z18/Z16)</f>
        <v>1.2000000000000002</v>
      </c>
      <c r="AE19" s="349" t="s">
        <v>539</v>
      </c>
      <c r="AF19" s="367" t="s">
        <v>534</v>
      </c>
      <c r="AG19" s="368">
        <f>(AG8*AG12/1000)*(12/100)</f>
        <v>0.13440000000000002</v>
      </c>
      <c r="AH19" s="368" t="s">
        <v>534</v>
      </c>
      <c r="AI19" s="368" t="s">
        <v>534</v>
      </c>
      <c r="AJ19" s="369" t="s">
        <v>534</v>
      </c>
      <c r="AK19" s="356"/>
      <c r="AL19" s="357" t="s">
        <v>539</v>
      </c>
      <c r="AM19" s="370" t="s">
        <v>534</v>
      </c>
      <c r="AN19" s="372">
        <f>AN12*75/100</f>
        <v>9</v>
      </c>
      <c r="AO19" s="373" t="s">
        <v>534</v>
      </c>
      <c r="AP19" s="348"/>
    </row>
    <row r="20" spans="2:42" s="5" customFormat="1" ht="21.75" customHeight="1" thickBot="1">
      <c r="B20" s="3"/>
      <c r="C20" s="3"/>
      <c r="D20" s="28">
        <f>(V19-D19)/D19</f>
        <v>-0.62698165993161337</v>
      </c>
      <c r="E20" s="13"/>
      <c r="F20" s="28">
        <f>(V19-F19)/F19</f>
        <v>-0.27382753403933441</v>
      </c>
      <c r="G20" s="14"/>
      <c r="H20" s="28">
        <f>(V19-H19)/H19</f>
        <v>-0.73969631236442512</v>
      </c>
      <c r="I20" s="29"/>
      <c r="J20" s="29"/>
      <c r="K20" s="14"/>
      <c r="L20" s="28">
        <f>(V19-L19)/L19</f>
        <v>-0.46961325966850825</v>
      </c>
      <c r="M20" s="14"/>
      <c r="N20" s="28">
        <f>(V19-N19)/N19</f>
        <v>-0.59459459459459463</v>
      </c>
      <c r="O20" s="29"/>
      <c r="P20" s="29"/>
      <c r="Q20" s="59"/>
      <c r="R20" s="14"/>
      <c r="S20" s="68">
        <f>(V19-S19)/S19</f>
        <v>0.64835164835164805</v>
      </c>
      <c r="T20" s="28" t="e">
        <f>(AI19-T19)/T19</f>
        <v>#VALUE!</v>
      </c>
      <c r="U20" s="14"/>
      <c r="AE20" s="349" t="s">
        <v>540</v>
      </c>
      <c r="AF20" s="399" t="s">
        <v>534</v>
      </c>
      <c r="AG20" s="400">
        <f>(AG8*AG12/1000)*(12/100)</f>
        <v>0.13440000000000002</v>
      </c>
      <c r="AH20" s="400" t="s">
        <v>534</v>
      </c>
      <c r="AI20" s="400" t="s">
        <v>534</v>
      </c>
      <c r="AJ20" s="401" t="s">
        <v>534</v>
      </c>
      <c r="AK20" s="356"/>
      <c r="AL20" s="357" t="s">
        <v>540</v>
      </c>
      <c r="AM20" s="370" t="s">
        <v>534</v>
      </c>
      <c r="AN20" s="372" t="s">
        <v>534</v>
      </c>
      <c r="AO20" s="373" t="s">
        <v>534</v>
      </c>
      <c r="AP20" s="348"/>
    </row>
    <row r="21" spans="2:42" s="5" customFormat="1" ht="19.5" customHeight="1">
      <c r="C21" s="33">
        <f>SUM(D21:U21)</f>
        <v>657.28851540616245</v>
      </c>
      <c r="D21" s="1894"/>
      <c r="E21" s="1895"/>
      <c r="F21" s="19">
        <v>40</v>
      </c>
      <c r="G21" s="20"/>
      <c r="H21" s="19">
        <v>250</v>
      </c>
      <c r="I21" s="19"/>
      <c r="J21" s="19"/>
      <c r="K21" s="20"/>
      <c r="L21" s="19">
        <v>146</v>
      </c>
      <c r="M21" s="20"/>
      <c r="N21" s="19">
        <f>((8000+6000+11000+7800)/357)</f>
        <v>91.876750700280112</v>
      </c>
      <c r="O21" s="19"/>
      <c r="P21" s="19"/>
      <c r="Q21" s="60"/>
      <c r="R21" s="20"/>
      <c r="S21" s="60">
        <v>100</v>
      </c>
      <c r="T21" s="19">
        <f>((3000+4000+2000+1500)/357)</f>
        <v>29.411764705882351</v>
      </c>
      <c r="U21" s="20"/>
      <c r="AE21" s="349" t="s">
        <v>541</v>
      </c>
      <c r="AF21" s="1911">
        <f>AF16+AI16</f>
        <v>0.33</v>
      </c>
      <c r="AG21" s="1912"/>
      <c r="AH21" s="1912"/>
      <c r="AI21" s="1912"/>
      <c r="AJ21" s="1913"/>
      <c r="AK21" s="356"/>
      <c r="AL21" s="349" t="s">
        <v>541</v>
      </c>
      <c r="AM21" s="1914">
        <f>(AM16+AO16)</f>
        <v>3.6002283749999999</v>
      </c>
      <c r="AN21" s="1915"/>
      <c r="AO21" s="1916"/>
      <c r="AP21" s="348"/>
    </row>
    <row r="22" spans="2:42" s="5" customFormat="1" ht="19.5" customHeight="1">
      <c r="C22" s="30">
        <f>SUM(D22:U22)</f>
        <v>372562.17699999997</v>
      </c>
      <c r="D22" s="22">
        <f>(D21*D18)</f>
        <v>0</v>
      </c>
      <c r="E22" s="7"/>
      <c r="F22" s="22">
        <f>(F21*F18)</f>
        <v>11798.85</v>
      </c>
      <c r="G22" s="7"/>
      <c r="H22" s="22">
        <f>(H21*H18)</f>
        <v>205721.25</v>
      </c>
      <c r="I22" s="8"/>
      <c r="J22" s="8"/>
      <c r="K22" s="7"/>
      <c r="L22" s="22">
        <f>(L21*L18)</f>
        <v>58963.012499999997</v>
      </c>
      <c r="M22" s="7"/>
      <c r="N22" s="22">
        <f>(N21*N18)</f>
        <v>48544</v>
      </c>
      <c r="O22" s="8"/>
      <c r="P22" s="8"/>
      <c r="Q22" s="57"/>
      <c r="R22" s="7"/>
      <c r="S22" s="69">
        <f>(S21*S18)</f>
        <v>12994.800000000001</v>
      </c>
      <c r="T22" s="22">
        <f>(T21*T18)</f>
        <v>34540.264499999997</v>
      </c>
      <c r="U22" s="7"/>
      <c r="AE22" s="349" t="s">
        <v>542</v>
      </c>
      <c r="AF22" s="1882">
        <f>AF17+AI17</f>
        <v>1.0758000000000001</v>
      </c>
      <c r="AG22" s="1883"/>
      <c r="AH22" s="1883"/>
      <c r="AI22" s="1883"/>
      <c r="AJ22" s="1884"/>
      <c r="AK22" s="356"/>
      <c r="AL22" s="349" t="s">
        <v>542</v>
      </c>
      <c r="AM22" s="1885">
        <f>AM17</f>
        <v>18.3</v>
      </c>
      <c r="AN22" s="1886"/>
      <c r="AO22" s="1887"/>
      <c r="AP22" s="348"/>
    </row>
    <row r="23" spans="2:42" s="5" customFormat="1" ht="20.25" customHeight="1">
      <c r="C23" s="30">
        <f>SUM(D23:U23)</f>
        <v>140791.20000000001</v>
      </c>
      <c r="D23" s="21">
        <f>(D21*V18)</f>
        <v>0</v>
      </c>
      <c r="E23" s="7"/>
      <c r="F23" s="21">
        <f>(F21*V18)</f>
        <v>8568</v>
      </c>
      <c r="G23" s="7"/>
      <c r="H23" s="21">
        <f>(H21*V18)</f>
        <v>53550</v>
      </c>
      <c r="I23" s="9"/>
      <c r="J23" s="9"/>
      <c r="K23" s="7"/>
      <c r="L23" s="21">
        <f>(L21*V18)</f>
        <v>31273.199999999997</v>
      </c>
      <c r="M23" s="7"/>
      <c r="N23" s="21">
        <f>(N21*V18)</f>
        <v>19680</v>
      </c>
      <c r="O23" s="9"/>
      <c r="P23" s="9"/>
      <c r="Q23" s="61"/>
      <c r="R23" s="7"/>
      <c r="S23" s="70">
        <f>(S21*V18)</f>
        <v>21420</v>
      </c>
      <c r="T23" s="21">
        <f>(T21*V18)</f>
        <v>6299.9999999999991</v>
      </c>
      <c r="U23" s="7"/>
      <c r="AE23" s="349" t="s">
        <v>543</v>
      </c>
      <c r="AF23" s="1882">
        <f>AI18</f>
        <v>0.13200000000000001</v>
      </c>
      <c r="AG23" s="1883"/>
      <c r="AH23" s="1883"/>
      <c r="AI23" s="1883"/>
      <c r="AJ23" s="1884"/>
      <c r="AK23" s="356"/>
      <c r="AL23" s="349" t="s">
        <v>543</v>
      </c>
      <c r="AM23" s="1888">
        <f>AO18</f>
        <v>1.7325000000000001E-4</v>
      </c>
      <c r="AN23" s="1889"/>
      <c r="AO23" s="1890"/>
      <c r="AP23" s="348"/>
    </row>
    <row r="24" spans="2:42" s="5" customFormat="1">
      <c r="C24" s="31">
        <f>(C22-C23)</f>
        <v>231770.97699999996</v>
      </c>
      <c r="AE24" s="349" t="s">
        <v>544</v>
      </c>
      <c r="AF24" s="1882">
        <f>AG19</f>
        <v>0.13440000000000002</v>
      </c>
      <c r="AG24" s="1883"/>
      <c r="AH24" s="1883"/>
      <c r="AI24" s="1883"/>
      <c r="AJ24" s="1884"/>
      <c r="AK24" s="356"/>
      <c r="AL24" s="349" t="s">
        <v>544</v>
      </c>
      <c r="AM24" s="1891">
        <f>AN19</f>
        <v>9</v>
      </c>
      <c r="AN24" s="1892"/>
      <c r="AO24" s="1893"/>
      <c r="AP24" s="348"/>
    </row>
    <row r="25" spans="2:42" s="5" customFormat="1" ht="15.75" thickBot="1">
      <c r="AE25" s="349" t="s">
        <v>545</v>
      </c>
      <c r="AF25" s="1864">
        <f>AG20</f>
        <v>0.13440000000000002</v>
      </c>
      <c r="AG25" s="1865"/>
      <c r="AH25" s="1865"/>
      <c r="AI25" s="1865"/>
      <c r="AJ25" s="1866"/>
      <c r="AK25" s="356"/>
      <c r="AL25" s="349" t="s">
        <v>545</v>
      </c>
      <c r="AM25" s="1867">
        <f>0</f>
        <v>0</v>
      </c>
      <c r="AN25" s="1868"/>
      <c r="AO25" s="1869"/>
      <c r="AP25" s="348"/>
    </row>
    <row r="26" spans="2:42">
      <c r="C26" s="33"/>
      <c r="AE26" s="349" t="s">
        <v>546</v>
      </c>
      <c r="AF26" s="1870">
        <f>AF21/200</f>
        <v>1.65E-3</v>
      </c>
      <c r="AG26" s="1871"/>
      <c r="AH26" s="1871"/>
      <c r="AI26" s="1871"/>
      <c r="AJ26" s="1872"/>
      <c r="AK26" s="356"/>
      <c r="AL26" s="349" t="s">
        <v>546</v>
      </c>
      <c r="AM26" s="1873">
        <f>AM21/200</f>
        <v>1.8001141875000001E-2</v>
      </c>
      <c r="AN26" s="1874"/>
      <c r="AO26" s="1875"/>
    </row>
    <row r="27" spans="2:42">
      <c r="AE27" s="349" t="s">
        <v>547</v>
      </c>
      <c r="AF27" s="1876">
        <f>AF22/200</f>
        <v>5.3790000000000001E-3</v>
      </c>
      <c r="AG27" s="1877"/>
      <c r="AH27" s="1877"/>
      <c r="AI27" s="1877"/>
      <c r="AJ27" s="1878"/>
      <c r="AK27" s="356"/>
      <c r="AL27" s="349" t="s">
        <v>547</v>
      </c>
      <c r="AM27" s="1879">
        <f>AM22/200</f>
        <v>9.1499999999999998E-2</v>
      </c>
      <c r="AN27" s="1880"/>
      <c r="AO27" s="1881"/>
    </row>
    <row r="28" spans="2:42">
      <c r="AE28" s="349" t="s">
        <v>548</v>
      </c>
      <c r="AF28" s="1849">
        <f>AF23/200</f>
        <v>6.6E-4</v>
      </c>
      <c r="AG28" s="1850"/>
      <c r="AH28" s="1850"/>
      <c r="AI28" s="1850"/>
      <c r="AJ28" s="1851"/>
      <c r="AK28" s="356"/>
      <c r="AL28" s="349" t="s">
        <v>548</v>
      </c>
      <c r="AM28" s="1852">
        <f>AM23/200</f>
        <v>8.6625000000000007E-7</v>
      </c>
      <c r="AN28" s="1853"/>
      <c r="AO28" s="1854"/>
    </row>
    <row r="29" spans="2:42">
      <c r="AE29" s="349" t="s">
        <v>549</v>
      </c>
      <c r="AF29" s="1849">
        <f>AF24/200</f>
        <v>6.7200000000000007E-4</v>
      </c>
      <c r="AG29" s="1850"/>
      <c r="AH29" s="1850"/>
      <c r="AI29" s="1850"/>
      <c r="AJ29" s="1851"/>
      <c r="AK29" s="356"/>
      <c r="AL29" s="349" t="s">
        <v>549</v>
      </c>
      <c r="AM29" s="1855">
        <f>AM24/200</f>
        <v>4.4999999999999998E-2</v>
      </c>
      <c r="AN29" s="1856"/>
      <c r="AO29" s="1857"/>
    </row>
    <row r="30" spans="2:42" ht="15.75" thickBot="1">
      <c r="AE30" s="349" t="s">
        <v>550</v>
      </c>
      <c r="AF30" s="1858">
        <f>AF25/200</f>
        <v>6.7200000000000007E-4</v>
      </c>
      <c r="AG30" s="1859"/>
      <c r="AH30" s="1859"/>
      <c r="AI30" s="1859"/>
      <c r="AJ30" s="1860"/>
      <c r="AK30" s="356"/>
      <c r="AL30" s="349" t="s">
        <v>550</v>
      </c>
      <c r="AM30" s="1861">
        <f>AM25/200</f>
        <v>0</v>
      </c>
      <c r="AN30" s="1862"/>
      <c r="AO30" s="1863"/>
    </row>
    <row r="31" spans="2:42">
      <c r="AE31" s="349" t="s">
        <v>535</v>
      </c>
      <c r="AF31" s="1843">
        <f>AF26*1000000</f>
        <v>1650</v>
      </c>
      <c r="AG31" s="1844"/>
      <c r="AH31" s="1844"/>
      <c r="AI31" s="1844"/>
      <c r="AJ31" s="1845"/>
      <c r="AK31" s="356"/>
      <c r="AL31" s="349" t="s">
        <v>535</v>
      </c>
      <c r="AM31" s="1846">
        <f>AM26*1000000</f>
        <v>18001.141875000001</v>
      </c>
      <c r="AN31" s="1847"/>
      <c r="AO31" s="1848"/>
    </row>
    <row r="32" spans="2:42">
      <c r="AE32" s="349" t="s">
        <v>242</v>
      </c>
      <c r="AF32" s="1809">
        <f>AF27*1000000</f>
        <v>5379</v>
      </c>
      <c r="AG32" s="1810"/>
      <c r="AH32" s="1810"/>
      <c r="AI32" s="1810"/>
      <c r="AJ32" s="1811"/>
      <c r="AK32" s="356"/>
      <c r="AL32" s="349" t="s">
        <v>242</v>
      </c>
      <c r="AM32" s="1812">
        <f>AM27*1000000</f>
        <v>91500</v>
      </c>
      <c r="AN32" s="1813"/>
      <c r="AO32" s="1814"/>
    </row>
    <row r="33" spans="31:41">
      <c r="AE33" s="349" t="s">
        <v>538</v>
      </c>
      <c r="AF33" s="1809">
        <f>AF28*1000000</f>
        <v>660</v>
      </c>
      <c r="AG33" s="1810"/>
      <c r="AH33" s="1810"/>
      <c r="AI33" s="1810"/>
      <c r="AJ33" s="1811"/>
      <c r="AK33" s="356"/>
      <c r="AL33" s="349" t="s">
        <v>538</v>
      </c>
      <c r="AM33" s="1812">
        <f>AM28*1000000</f>
        <v>0.86625000000000008</v>
      </c>
      <c r="AN33" s="1813"/>
      <c r="AO33" s="1814"/>
    </row>
    <row r="34" spans="31:41">
      <c r="AE34" s="349" t="s">
        <v>539</v>
      </c>
      <c r="AF34" s="1809">
        <f>AF29*1000000</f>
        <v>672.00000000000011</v>
      </c>
      <c r="AG34" s="1810"/>
      <c r="AH34" s="1810"/>
      <c r="AI34" s="1810"/>
      <c r="AJ34" s="1811"/>
      <c r="AK34" s="356"/>
      <c r="AL34" s="349" t="s">
        <v>539</v>
      </c>
      <c r="AM34" s="1812">
        <f>AM29*1000000</f>
        <v>45000</v>
      </c>
      <c r="AN34" s="1813"/>
      <c r="AO34" s="1814"/>
    </row>
    <row r="35" spans="31:41" ht="15.75" thickBot="1">
      <c r="AE35" s="349" t="s">
        <v>540</v>
      </c>
      <c r="AF35" s="1815">
        <f>AF30*1000000</f>
        <v>672.00000000000011</v>
      </c>
      <c r="AG35" s="1816"/>
      <c r="AH35" s="1816"/>
      <c r="AI35" s="1816"/>
      <c r="AJ35" s="1817"/>
      <c r="AK35" s="356"/>
      <c r="AL35" s="349" t="s">
        <v>540</v>
      </c>
      <c r="AM35" s="1818">
        <f>AM30*1000000</f>
        <v>0</v>
      </c>
      <c r="AN35" s="1819"/>
      <c r="AO35" s="1820"/>
    </row>
    <row r="36" spans="31:41">
      <c r="AE36" s="349" t="s">
        <v>535</v>
      </c>
      <c r="AF36" s="1821" t="s">
        <v>551</v>
      </c>
      <c r="AG36" s="1822"/>
      <c r="AH36" s="1827">
        <f>AF31*30/1000</f>
        <v>49.5</v>
      </c>
      <c r="AI36" s="1827"/>
      <c r="AJ36" s="1828"/>
      <c r="AK36" s="356"/>
      <c r="AL36" s="349" t="s">
        <v>535</v>
      </c>
      <c r="AM36" s="1821" t="s">
        <v>552</v>
      </c>
      <c r="AN36" s="1829">
        <f>AM31*7.5/1000</f>
        <v>135.00856406250003</v>
      </c>
      <c r="AO36" s="1830"/>
    </row>
    <row r="37" spans="31:41">
      <c r="AE37" s="349" t="s">
        <v>242</v>
      </c>
      <c r="AF37" s="1823"/>
      <c r="AG37" s="1824"/>
      <c r="AH37" s="1831">
        <f>AF32*30/1000</f>
        <v>161.37</v>
      </c>
      <c r="AI37" s="1831"/>
      <c r="AJ37" s="1832"/>
      <c r="AK37" s="356"/>
      <c r="AL37" s="349" t="s">
        <v>242</v>
      </c>
      <c r="AM37" s="1823"/>
      <c r="AN37" s="1833">
        <f>AM32*7.5/1000</f>
        <v>686.25</v>
      </c>
      <c r="AO37" s="1834"/>
    </row>
    <row r="38" spans="31:41">
      <c r="AE38" s="349" t="s">
        <v>538</v>
      </c>
      <c r="AF38" s="1823"/>
      <c r="AG38" s="1824"/>
      <c r="AH38" s="1831">
        <f>AF33*30/1000</f>
        <v>19.8</v>
      </c>
      <c r="AI38" s="1831"/>
      <c r="AJ38" s="1832"/>
      <c r="AK38" s="356"/>
      <c r="AL38" s="349" t="s">
        <v>538</v>
      </c>
      <c r="AM38" s="1823"/>
      <c r="AN38" s="1835">
        <f>AM33*7.5/1000</f>
        <v>6.496875E-3</v>
      </c>
      <c r="AO38" s="1836"/>
    </row>
    <row r="39" spans="31:41">
      <c r="AE39" s="349" t="s">
        <v>539</v>
      </c>
      <c r="AF39" s="1823"/>
      <c r="AG39" s="1824"/>
      <c r="AH39" s="1831">
        <f>AF34*30/1000</f>
        <v>20.160000000000004</v>
      </c>
      <c r="AI39" s="1831"/>
      <c r="AJ39" s="1832"/>
      <c r="AK39" s="356"/>
      <c r="AL39" s="349" t="s">
        <v>539</v>
      </c>
      <c r="AM39" s="1823"/>
      <c r="AN39" s="1837">
        <f>AM34*7.5/1000</f>
        <v>337.5</v>
      </c>
      <c r="AO39" s="1838"/>
    </row>
    <row r="40" spans="31:41" ht="15.75" thickBot="1">
      <c r="AE40" s="349" t="s">
        <v>540</v>
      </c>
      <c r="AF40" s="1825"/>
      <c r="AG40" s="1826"/>
      <c r="AH40" s="1839">
        <f>AF35*30/1000</f>
        <v>20.160000000000004</v>
      </c>
      <c r="AI40" s="1839"/>
      <c r="AJ40" s="1840"/>
      <c r="AK40" s="356"/>
      <c r="AL40" s="349" t="s">
        <v>540</v>
      </c>
      <c r="AM40" s="1825"/>
      <c r="AN40" s="1841">
        <f>AM35*7.5/1000</f>
        <v>0</v>
      </c>
      <c r="AO40" s="1842"/>
    </row>
  </sheetData>
  <mergeCells count="50">
    <mergeCell ref="D21:E21"/>
    <mergeCell ref="V4:W4"/>
    <mergeCell ref="AF11:AJ11"/>
    <mergeCell ref="AM11:AO11"/>
    <mergeCell ref="AM14:AO14"/>
    <mergeCell ref="AF15:AG15"/>
    <mergeCell ref="AH15:AJ15"/>
    <mergeCell ref="AN15:AO15"/>
    <mergeCell ref="AF21:AJ21"/>
    <mergeCell ref="AM21:AO21"/>
    <mergeCell ref="AF22:AJ22"/>
    <mergeCell ref="AM22:AO22"/>
    <mergeCell ref="AF23:AJ23"/>
    <mergeCell ref="AM23:AO23"/>
    <mergeCell ref="AF24:AJ24"/>
    <mergeCell ref="AM24:AO24"/>
    <mergeCell ref="AF25:AJ25"/>
    <mergeCell ref="AM25:AO25"/>
    <mergeCell ref="AF26:AJ26"/>
    <mergeCell ref="AM26:AO26"/>
    <mergeCell ref="AF27:AJ27"/>
    <mergeCell ref="AM27:AO27"/>
    <mergeCell ref="AF28:AJ28"/>
    <mergeCell ref="AM28:AO28"/>
    <mergeCell ref="AF29:AJ29"/>
    <mergeCell ref="AM29:AO29"/>
    <mergeCell ref="AF30:AJ30"/>
    <mergeCell ref="AM30:AO30"/>
    <mergeCell ref="AF31:AJ31"/>
    <mergeCell ref="AM31:AO31"/>
    <mergeCell ref="AF32:AJ32"/>
    <mergeCell ref="AM32:AO32"/>
    <mergeCell ref="AF33:AJ33"/>
    <mergeCell ref="AM33:AO33"/>
    <mergeCell ref="AF34:AJ34"/>
    <mergeCell ref="AM34:AO34"/>
    <mergeCell ref="AF35:AJ35"/>
    <mergeCell ref="AM35:AO35"/>
    <mergeCell ref="AF36:AG40"/>
    <mergeCell ref="AH36:AJ36"/>
    <mergeCell ref="AM36:AM40"/>
    <mergeCell ref="AN36:AO36"/>
    <mergeCell ref="AH37:AJ37"/>
    <mergeCell ref="AN37:AO37"/>
    <mergeCell ref="AH38:AJ38"/>
    <mergeCell ref="AN38:AO38"/>
    <mergeCell ref="AH39:AJ39"/>
    <mergeCell ref="AN39:AO39"/>
    <mergeCell ref="AH40:AJ40"/>
    <mergeCell ref="AN40:AO40"/>
  </mergeCells>
  <printOptions horizontalCentered="1" verticalCentered="1"/>
  <pageMargins left="0.70866141732283472" right="0.70866141732283472" top="0.74803149606299213" bottom="0.74803149606299213" header="0.31496062992125984" footer="0.31496062992125984"/>
  <pageSetup paperSize="5" scale="48"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91C6-F77C-4C30-A53D-EA8A7E3FA9B4}">
  <sheetPr filterMode="1"/>
  <dimension ref="B1:AF245"/>
  <sheetViews>
    <sheetView tabSelected="1" zoomScale="80" zoomScaleNormal="80" workbookViewId="0">
      <pane xSplit="4" ySplit="2" topLeftCell="E147" activePane="bottomRight" state="frozen"/>
      <selection pane="topRight" activeCell="E1" sqref="E1"/>
      <selection pane="bottomLeft" activeCell="A3" sqref="A3"/>
      <selection pane="bottomRight" activeCell="G162" sqref="G162"/>
    </sheetView>
  </sheetViews>
  <sheetFormatPr baseColWidth="10" defaultRowHeight="15" outlineLevelRow="1"/>
  <cols>
    <col min="1" max="1" width="2.7109375" customWidth="1"/>
    <col min="2" max="2" width="11.7109375" style="1581" bestFit="1" customWidth="1"/>
    <col min="3" max="3" width="29.28515625" customWidth="1"/>
    <col min="4" max="4" width="14.7109375" style="1581" customWidth="1"/>
    <col min="5" max="5" width="13" style="1581" bestFit="1" customWidth="1"/>
    <col min="6" max="6" width="12.7109375" style="1581" customWidth="1"/>
    <col min="7" max="7" width="13" style="1581" customWidth="1"/>
    <col min="8" max="8" width="12.7109375" style="1581" bestFit="1" customWidth="1"/>
    <col min="9" max="9" width="13.7109375" style="1581" bestFit="1" customWidth="1"/>
    <col min="10" max="11" width="12.42578125" style="1581" bestFit="1" customWidth="1"/>
    <col min="12" max="12" width="10.5703125" style="1581" customWidth="1"/>
    <col min="13" max="13" width="12.85546875" style="1581" bestFit="1" customWidth="1"/>
    <col min="14" max="14" width="12.42578125" style="1581" bestFit="1" customWidth="1"/>
    <col min="15" max="15" width="13" style="1581" bestFit="1" customWidth="1"/>
    <col min="16" max="16" width="12.28515625" style="1581" bestFit="1" customWidth="1"/>
    <col min="18" max="18" width="26.85546875" bestFit="1" customWidth="1"/>
    <col min="19" max="19" width="17.28515625" style="1581" customWidth="1"/>
    <col min="20" max="20" width="13.85546875" style="1581" bestFit="1" customWidth="1"/>
    <col min="21" max="21" width="12.28515625" style="1581" customWidth="1"/>
    <col min="22" max="22" width="16.28515625" style="1581" customWidth="1"/>
    <col min="23" max="23" width="17.5703125" style="1581" customWidth="1"/>
    <col min="24" max="25" width="9.85546875" style="1581" customWidth="1"/>
    <col min="26" max="26" width="11.140625" style="1581" customWidth="1"/>
    <col min="27" max="27" width="10.5703125" style="1581" customWidth="1"/>
    <col min="28" max="29" width="9.85546875" style="1581" customWidth="1"/>
    <col min="30" max="30" width="10.85546875" style="1581" customWidth="1"/>
    <col min="31" max="31" width="9.85546875" style="1581" customWidth="1"/>
  </cols>
  <sheetData>
    <row r="1" spans="2:32">
      <c r="X1" s="1294"/>
      <c r="Y1" s="1294"/>
      <c r="Z1" s="1294"/>
      <c r="AA1" s="1294"/>
      <c r="AB1" s="1294"/>
      <c r="AC1" s="1294"/>
      <c r="AD1" s="1294"/>
      <c r="AE1" s="1294"/>
    </row>
    <row r="2" spans="2:32" s="1294" customFormat="1" ht="32.25" customHeight="1">
      <c r="B2" s="1029" t="s">
        <v>729</v>
      </c>
      <c r="C2" s="1029"/>
      <c r="D2" s="1354" t="s">
        <v>743</v>
      </c>
      <c r="E2" s="1030">
        <v>45292</v>
      </c>
      <c r="F2" s="1030">
        <v>45323</v>
      </c>
      <c r="G2" s="1030">
        <v>45352</v>
      </c>
      <c r="H2" s="1030">
        <v>45383</v>
      </c>
      <c r="I2" s="1030">
        <v>45413</v>
      </c>
      <c r="J2" s="1030">
        <v>45444</v>
      </c>
      <c r="K2" s="1030">
        <v>45474</v>
      </c>
      <c r="L2" s="1030">
        <v>45505</v>
      </c>
      <c r="M2" s="1030">
        <v>45536</v>
      </c>
      <c r="N2" s="1030">
        <v>45566</v>
      </c>
      <c r="O2" s="1030">
        <v>45597</v>
      </c>
      <c r="P2" s="1030">
        <v>45627</v>
      </c>
      <c r="R2" s="1368" t="s">
        <v>743</v>
      </c>
      <c r="S2" s="1354" t="s">
        <v>973</v>
      </c>
      <c r="T2" s="1030" t="s">
        <v>367</v>
      </c>
      <c r="U2" s="1361" t="s">
        <v>974</v>
      </c>
      <c r="V2" s="1361" t="s">
        <v>366</v>
      </c>
      <c r="W2" s="1361" t="s">
        <v>365</v>
      </c>
      <c r="X2"/>
      <c r="Y2"/>
      <c r="Z2"/>
      <c r="AA2"/>
      <c r="AB2"/>
      <c r="AC2"/>
      <c r="AD2"/>
      <c r="AE2"/>
    </row>
    <row r="3" spans="2:32" ht="18" hidden="1" customHeight="1">
      <c r="B3" s="1343" t="s">
        <v>885</v>
      </c>
      <c r="C3" s="1591" t="s">
        <v>731</v>
      </c>
      <c r="D3" s="1587">
        <f>(D16+D63+D114+D180)</f>
        <v>1497307.4879999999</v>
      </c>
      <c r="E3" s="1587">
        <f>(E16+E63+E114+E180)</f>
        <v>239211.84700000001</v>
      </c>
      <c r="F3" s="1587">
        <f t="shared" ref="F3:P3" si="0">(F16+F63+F114+F180)</f>
        <v>59633.233</v>
      </c>
      <c r="G3" s="1587">
        <f t="shared" si="0"/>
        <v>73306.337</v>
      </c>
      <c r="H3" s="1587">
        <f t="shared" si="0"/>
        <v>105910.698</v>
      </c>
      <c r="I3" s="1587">
        <f t="shared" si="0"/>
        <v>276168.05699999997</v>
      </c>
      <c r="J3" s="1587">
        <f t="shared" si="0"/>
        <v>47812.328000000001</v>
      </c>
      <c r="K3" s="1587">
        <f t="shared" si="0"/>
        <v>154105.75</v>
      </c>
      <c r="L3" s="1587">
        <f t="shared" si="0"/>
        <v>100204.47199999999</v>
      </c>
      <c r="M3" s="1587">
        <f t="shared" si="0"/>
        <v>55602.737000000001</v>
      </c>
      <c r="N3" s="1587">
        <f t="shared" si="0"/>
        <v>49403.923999999999</v>
      </c>
      <c r="O3" s="1587">
        <f t="shared" si="0"/>
        <v>183542.18400000001</v>
      </c>
      <c r="P3" s="1587">
        <f t="shared" si="0"/>
        <v>152405.921</v>
      </c>
      <c r="R3" s="1367" t="s">
        <v>731</v>
      </c>
      <c r="S3" s="1587">
        <f>(D3)</f>
        <v>1497307.4879999999</v>
      </c>
      <c r="T3" s="1597">
        <f>(D16)</f>
        <v>3542.8689999999997</v>
      </c>
      <c r="U3" s="1597">
        <f>(D63)</f>
        <v>64.619</v>
      </c>
      <c r="V3" s="1597">
        <f>(D114)</f>
        <v>24200</v>
      </c>
      <c r="W3" s="1597">
        <f>(D180)</f>
        <v>1469500</v>
      </c>
      <c r="X3"/>
      <c r="Y3"/>
      <c r="Z3"/>
      <c r="AA3"/>
      <c r="AB3"/>
      <c r="AC3"/>
      <c r="AD3"/>
      <c r="AE3"/>
    </row>
    <row r="4" spans="2:32" ht="18" hidden="1" customHeight="1">
      <c r="B4" s="1343" t="s">
        <v>885</v>
      </c>
      <c r="C4" s="1590" t="s">
        <v>732</v>
      </c>
      <c r="D4" s="1584">
        <f>(D19+D65+D119+D186)</f>
        <v>1260177.8659999999</v>
      </c>
      <c r="E4" s="1592">
        <f>(E19+E65+E119+E186)</f>
        <v>89462.99</v>
      </c>
      <c r="F4" s="1592">
        <f t="shared" ref="F4:P4" si="1">(F19+F65+F119+F186)</f>
        <v>6505.3649999999998</v>
      </c>
      <c r="G4" s="1592">
        <f t="shared" si="1"/>
        <v>109759.77499999999</v>
      </c>
      <c r="H4" s="1592">
        <f t="shared" si="1"/>
        <v>68484.375</v>
      </c>
      <c r="I4" s="1592">
        <f t="shared" si="1"/>
        <v>177149.87</v>
      </c>
      <c r="J4" s="1592">
        <f t="shared" si="1"/>
        <v>282563.63099999999</v>
      </c>
      <c r="K4" s="1592">
        <f t="shared" si="1"/>
        <v>128713.85</v>
      </c>
      <c r="L4" s="1592">
        <f t="shared" si="1"/>
        <v>75837.679999999993</v>
      </c>
      <c r="M4" s="1592">
        <f t="shared" si="1"/>
        <v>75519.55</v>
      </c>
      <c r="N4" s="1592">
        <f t="shared" si="1"/>
        <v>65954.73</v>
      </c>
      <c r="O4" s="1592">
        <f t="shared" si="1"/>
        <v>34751.15</v>
      </c>
      <c r="P4" s="1592">
        <f t="shared" si="1"/>
        <v>145474.9</v>
      </c>
      <c r="Q4" s="1122"/>
      <c r="R4" s="1075" t="s">
        <v>732</v>
      </c>
      <c r="S4" s="1584">
        <f>(D4)</f>
        <v>1260177.8659999999</v>
      </c>
      <c r="T4" s="1598">
        <f>(D19)</f>
        <v>2184.5</v>
      </c>
      <c r="U4" s="1598">
        <f>(D65)</f>
        <v>58.991</v>
      </c>
      <c r="V4" s="1598">
        <f>(D119)</f>
        <v>22340</v>
      </c>
      <c r="W4" s="1598">
        <f>(D186)</f>
        <v>1235594.375</v>
      </c>
      <c r="X4"/>
      <c r="Y4"/>
      <c r="Z4"/>
      <c r="AA4"/>
      <c r="AB4"/>
      <c r="AC4"/>
      <c r="AD4"/>
      <c r="AE4"/>
    </row>
    <row r="5" spans="2:32" ht="18" hidden="1" customHeight="1">
      <c r="B5" s="1343" t="s">
        <v>885</v>
      </c>
      <c r="C5" s="1590" t="s">
        <v>736</v>
      </c>
      <c r="D5" s="1583">
        <f>(D27+D71+D138+D200)</f>
        <v>12611950.405660378</v>
      </c>
      <c r="E5" s="1583">
        <f>(E27+E71+E138+E200)</f>
        <v>888358.5</v>
      </c>
      <c r="F5" s="1583">
        <f t="shared" ref="F5:P5" si="2">(F27+F71+F138+F200)</f>
        <v>857121.75</v>
      </c>
      <c r="G5" s="1583">
        <f t="shared" si="2"/>
        <v>1694832.5</v>
      </c>
      <c r="H5" s="1583">
        <f t="shared" si="2"/>
        <v>1158845</v>
      </c>
      <c r="I5" s="1583">
        <f t="shared" si="2"/>
        <v>1398832.5</v>
      </c>
      <c r="J5" s="1583">
        <f t="shared" si="2"/>
        <v>1646444.4056603773</v>
      </c>
      <c r="K5" s="1583">
        <f t="shared" si="2"/>
        <v>1061692</v>
      </c>
      <c r="L5" s="1583">
        <f t="shared" si="2"/>
        <v>940606</v>
      </c>
      <c r="M5" s="1583">
        <f t="shared" si="2"/>
        <v>631757.5</v>
      </c>
      <c r="N5" s="1583">
        <f t="shared" si="2"/>
        <v>674157.25</v>
      </c>
      <c r="O5" s="1583">
        <f t="shared" si="2"/>
        <v>767955</v>
      </c>
      <c r="P5" s="1583">
        <f t="shared" si="2"/>
        <v>891348</v>
      </c>
      <c r="R5" s="1075" t="s">
        <v>736</v>
      </c>
      <c r="S5" s="1583">
        <f>(D5)</f>
        <v>12611950.405660378</v>
      </c>
      <c r="T5" s="1599">
        <f>(D27)</f>
        <v>180667.25</v>
      </c>
      <c r="U5" s="1599">
        <f>(D71)</f>
        <v>1574943</v>
      </c>
      <c r="V5" s="1599">
        <f>(D138)</f>
        <v>5723624.9056603778</v>
      </c>
      <c r="W5" s="1599">
        <f>(D200)</f>
        <v>5132715.25</v>
      </c>
      <c r="X5"/>
      <c r="Y5"/>
      <c r="Z5"/>
      <c r="AA5"/>
      <c r="AB5"/>
      <c r="AC5"/>
      <c r="AD5"/>
      <c r="AE5"/>
    </row>
    <row r="6" spans="2:32" ht="18" hidden="1" customHeight="1">
      <c r="B6" s="1343" t="s">
        <v>885</v>
      </c>
      <c r="C6" s="1590" t="s">
        <v>738</v>
      </c>
      <c r="D6" s="1593">
        <f>IFERROR(SUM(E6:P6),"")</f>
        <v>9042847.4729664214</v>
      </c>
      <c r="E6" s="1593">
        <f>(E31+E74+E149+E209)</f>
        <v>1011677.8684260609</v>
      </c>
      <c r="F6" s="1593">
        <f t="shared" ref="F6:P6" si="3">(F31+F74+F149+F209)</f>
        <v>724533.55654197035</v>
      </c>
      <c r="G6" s="1593">
        <f t="shared" si="3"/>
        <v>1080888.4564135554</v>
      </c>
      <c r="H6" s="1593">
        <f t="shared" si="3"/>
        <v>968667.22124625347</v>
      </c>
      <c r="I6" s="1593">
        <f t="shared" si="3"/>
        <v>950865.80182852142</v>
      </c>
      <c r="J6" s="1593">
        <f t="shared" si="3"/>
        <v>751489.92179898266</v>
      </c>
      <c r="K6" s="1593">
        <f t="shared" si="3"/>
        <v>1217322.5962897954</v>
      </c>
      <c r="L6" s="1593">
        <f t="shared" si="3"/>
        <v>584441.33027150924</v>
      </c>
      <c r="M6" s="1593">
        <f t="shared" si="3"/>
        <v>422334.87959726457</v>
      </c>
      <c r="N6" s="1593">
        <f t="shared" si="3"/>
        <v>414094.38869486231</v>
      </c>
      <c r="O6" s="1593">
        <f t="shared" si="3"/>
        <v>446223.97808388958</v>
      </c>
      <c r="P6" s="1593">
        <f t="shared" si="3"/>
        <v>470307.47377375752</v>
      </c>
      <c r="R6" s="1075" t="s">
        <v>738</v>
      </c>
      <c r="S6" s="1593">
        <f>(D6)</f>
        <v>9042847.4729664214</v>
      </c>
      <c r="T6" s="1600">
        <f>(D31)</f>
        <v>705770.11929000006</v>
      </c>
      <c r="U6" s="1600">
        <f>(D74)</f>
        <v>923031.86470000003</v>
      </c>
      <c r="V6" s="1600">
        <f>(D149)</f>
        <v>4010063.0278684217</v>
      </c>
      <c r="W6" s="1600">
        <f>(D209)</f>
        <v>3403982.4611080009</v>
      </c>
      <c r="X6"/>
      <c r="Y6"/>
      <c r="Z6"/>
      <c r="AA6"/>
      <c r="AB6"/>
      <c r="AC6"/>
      <c r="AD6"/>
      <c r="AE6"/>
    </row>
    <row r="7" spans="2:32" ht="18" hidden="1" customHeight="1" thickBot="1">
      <c r="B7" s="1343" t="s">
        <v>885</v>
      </c>
      <c r="C7" s="1045" t="s">
        <v>716</v>
      </c>
      <c r="D7" s="1044">
        <f>IFERROR(SUM(E7:P7),"")</f>
        <v>3569102.932693955</v>
      </c>
      <c r="E7" s="1044">
        <f>(E5-E6)</f>
        <v>-123319.36842606089</v>
      </c>
      <c r="F7" s="1044">
        <f t="shared" ref="F7:P7" si="4">(F5-F6)</f>
        <v>132588.19345802965</v>
      </c>
      <c r="G7" s="1044">
        <f t="shared" si="4"/>
        <v>613944.04358644458</v>
      </c>
      <c r="H7" s="1044">
        <f t="shared" si="4"/>
        <v>190177.77875374653</v>
      </c>
      <c r="I7" s="1044">
        <f t="shared" si="4"/>
        <v>447966.69817147858</v>
      </c>
      <c r="J7" s="1044">
        <f t="shared" si="4"/>
        <v>894954.48386139469</v>
      </c>
      <c r="K7" s="1044">
        <f t="shared" si="4"/>
        <v>-155630.59628979536</v>
      </c>
      <c r="L7" s="1044">
        <f t="shared" si="4"/>
        <v>356164.66972849076</v>
      </c>
      <c r="M7" s="1044">
        <f t="shared" si="4"/>
        <v>209422.62040273543</v>
      </c>
      <c r="N7" s="1044">
        <f t="shared" si="4"/>
        <v>260062.86130513769</v>
      </c>
      <c r="O7" s="1044">
        <f t="shared" si="4"/>
        <v>321731.02191611042</v>
      </c>
      <c r="P7" s="1044">
        <f t="shared" si="4"/>
        <v>421040.52622624248</v>
      </c>
      <c r="R7" s="1045" t="s">
        <v>716</v>
      </c>
      <c r="S7" s="1044">
        <f>(S5-S6)</f>
        <v>3569102.9326939564</v>
      </c>
      <c r="T7" s="1371">
        <f>(T5-T6)</f>
        <v>-525102.86929000006</v>
      </c>
      <c r="U7" s="1371">
        <f>(U5-U6)</f>
        <v>651911.13529999997</v>
      </c>
      <c r="V7" s="1371">
        <f>(V5-V6)</f>
        <v>1713561.8777919561</v>
      </c>
      <c r="W7" s="1371">
        <f>(W5-W6)</f>
        <v>1728732.7888919991</v>
      </c>
      <c r="X7"/>
      <c r="Y7"/>
      <c r="Z7"/>
      <c r="AA7"/>
      <c r="AB7"/>
      <c r="AC7"/>
      <c r="AD7"/>
      <c r="AE7"/>
    </row>
    <row r="8" spans="2:32" ht="18" hidden="1" customHeight="1" outlineLevel="1" thickTop="1">
      <c r="B8" s="1343" t="s">
        <v>885</v>
      </c>
      <c r="C8" s="1049"/>
      <c r="D8" s="1049">
        <f t="shared" ref="D8:P8" si="5">IFERROR(D7/D5,"")</f>
        <v>0.28299373355386043</v>
      </c>
      <c r="E8" s="1049">
        <f t="shared" si="5"/>
        <v>-0.1388171199195605</v>
      </c>
      <c r="F8" s="1049">
        <f t="shared" si="5"/>
        <v>0.15469003494314507</v>
      </c>
      <c r="G8" s="1049">
        <f t="shared" si="5"/>
        <v>0.36224467231212792</v>
      </c>
      <c r="H8" s="1049">
        <f t="shared" si="5"/>
        <v>0.16410976338832764</v>
      </c>
      <c r="I8" s="1049">
        <f t="shared" si="5"/>
        <v>0.32024327299478572</v>
      </c>
      <c r="J8" s="1049">
        <f t="shared" si="5"/>
        <v>0.54356799463413086</v>
      </c>
      <c r="K8" s="1049">
        <f t="shared" si="5"/>
        <v>-0.14658733068516608</v>
      </c>
      <c r="L8" s="1049">
        <f t="shared" si="5"/>
        <v>0.37865447352928938</v>
      </c>
      <c r="M8" s="1049">
        <f t="shared" si="5"/>
        <v>0.33149210005854368</v>
      </c>
      <c r="N8" s="1049">
        <f t="shared" si="5"/>
        <v>0.38575994147528292</v>
      </c>
      <c r="O8" s="1049">
        <f t="shared" si="5"/>
        <v>0.41894514902059421</v>
      </c>
      <c r="P8" s="1049">
        <f t="shared" si="5"/>
        <v>0.47236379755857699</v>
      </c>
      <c r="R8" s="1049"/>
      <c r="S8" s="1049">
        <f>IFERROR(S7/S5,"")</f>
        <v>0.28299373355386054</v>
      </c>
      <c r="T8" s="1049">
        <f t="shared" ref="T8:W8" si="6">IFERROR(T7/T5,"")</f>
        <v>-2.9064640619149298</v>
      </c>
      <c r="U8" s="1049">
        <f t="shared" si="6"/>
        <v>0.41392681214494742</v>
      </c>
      <c r="V8" s="1049">
        <f>IFERROR(V7/V5,"")</f>
        <v>0.29938402778584067</v>
      </c>
      <c r="W8" s="1049">
        <f t="shared" si="6"/>
        <v>0.3368066811990007</v>
      </c>
      <c r="X8"/>
      <c r="Y8"/>
      <c r="Z8"/>
      <c r="AA8"/>
      <c r="AB8"/>
      <c r="AC8"/>
      <c r="AD8"/>
      <c r="AE8"/>
    </row>
    <row r="9" spans="2:32" ht="18" hidden="1" customHeight="1" collapsed="1">
      <c r="B9" s="1343" t="s">
        <v>885</v>
      </c>
      <c r="C9" s="1588" t="s">
        <v>740</v>
      </c>
      <c r="D9" s="1589">
        <f>IF(SUM(E9:P9)&gt;0,SUM(E9:P9),"")</f>
        <v>1634205.0685435</v>
      </c>
      <c r="E9" s="1589">
        <f>(E44+E86+E159+E221)</f>
        <v>193678.02926000001</v>
      </c>
      <c r="F9" s="1589">
        <f t="shared" ref="F9:P9" si="7">(F44+F86+F159+F221)</f>
        <v>138902.28227999998</v>
      </c>
      <c r="G9" s="1589">
        <f t="shared" si="7"/>
        <v>152960.22654349997</v>
      </c>
      <c r="H9" s="1589">
        <f t="shared" si="7"/>
        <v>165198.41505999997</v>
      </c>
      <c r="I9" s="1589">
        <f t="shared" si="7"/>
        <v>142816.18262000001</v>
      </c>
      <c r="J9" s="1589">
        <f t="shared" si="7"/>
        <v>135047.4204</v>
      </c>
      <c r="K9" s="1589">
        <f t="shared" si="7"/>
        <v>113159.44828</v>
      </c>
      <c r="L9" s="1589">
        <f t="shared" si="7"/>
        <v>136355.63500000001</v>
      </c>
      <c r="M9" s="1589">
        <f t="shared" si="7"/>
        <v>100628.9247</v>
      </c>
      <c r="N9" s="1589">
        <f t="shared" si="7"/>
        <v>117161.50189999999</v>
      </c>
      <c r="O9" s="1589">
        <f t="shared" si="7"/>
        <v>123112.4804</v>
      </c>
      <c r="P9" s="1589">
        <f t="shared" si="7"/>
        <v>115184.5221</v>
      </c>
      <c r="R9" s="1369" t="s">
        <v>975</v>
      </c>
      <c r="S9" s="1589">
        <f>(D9)</f>
        <v>1634205.0685435</v>
      </c>
      <c r="T9" s="1601">
        <f>(D44)</f>
        <v>385027.15618850006</v>
      </c>
      <c r="U9" s="1601">
        <f>(D86)</f>
        <v>378991.09583849995</v>
      </c>
      <c r="V9" s="1601">
        <f>(D159)</f>
        <v>208740.32428</v>
      </c>
      <c r="W9" s="1601">
        <f>(D221)</f>
        <v>661446.49223650002</v>
      </c>
      <c r="X9"/>
      <c r="Y9"/>
      <c r="Z9"/>
      <c r="AA9"/>
      <c r="AB9"/>
      <c r="AC9"/>
      <c r="AD9"/>
      <c r="AE9"/>
    </row>
    <row r="10" spans="2:32" ht="18" hidden="1" customHeight="1" thickBot="1">
      <c r="B10" s="1343" t="s">
        <v>885</v>
      </c>
      <c r="C10" s="1590" t="s">
        <v>741</v>
      </c>
      <c r="D10" s="1583">
        <f t="shared" ref="D10" si="8">IF(SUM(E10:P10)&gt;0,SUM(E10:P10),"")</f>
        <v>173556.96</v>
      </c>
      <c r="E10" s="1583">
        <f>(E51+E95+E166+E228)</f>
        <v>9495.1999999999989</v>
      </c>
      <c r="F10" s="1583">
        <f t="shared" ref="F10:P10" si="9">(F51+F95+F166+F228)</f>
        <v>14607.999999999996</v>
      </c>
      <c r="G10" s="1583">
        <f t="shared" si="9"/>
        <v>15922.719999999998</v>
      </c>
      <c r="H10" s="1583">
        <f t="shared" si="9"/>
        <v>18269.559999999998</v>
      </c>
      <c r="I10" s="1583">
        <f t="shared" si="9"/>
        <v>14169.759999999998</v>
      </c>
      <c r="J10" s="1583">
        <f t="shared" si="9"/>
        <v>24979.679999999993</v>
      </c>
      <c r="K10" s="1583">
        <f t="shared" si="9"/>
        <v>16068.8</v>
      </c>
      <c r="L10" s="1583">
        <f t="shared" si="9"/>
        <v>11102.079999999998</v>
      </c>
      <c r="M10" s="1583">
        <f t="shared" si="9"/>
        <v>11102.079999999998</v>
      </c>
      <c r="N10" s="1583">
        <f t="shared" si="9"/>
        <v>11388.039999999999</v>
      </c>
      <c r="O10" s="1583">
        <f t="shared" si="9"/>
        <v>13596</v>
      </c>
      <c r="P10" s="1583">
        <f t="shared" si="9"/>
        <v>12855.039999999997</v>
      </c>
      <c r="R10" s="1075" t="s">
        <v>741</v>
      </c>
      <c r="S10" s="1583">
        <f>(D10)</f>
        <v>173556.96</v>
      </c>
      <c r="T10" s="1599">
        <f>(D51)</f>
        <v>7746.6</v>
      </c>
      <c r="U10" s="1599">
        <f t="shared" ref="U10" si="10">(U51+U95+U166+U228)</f>
        <v>0</v>
      </c>
      <c r="V10" s="1599">
        <f>(D166)</f>
        <v>2639</v>
      </c>
      <c r="W10" s="1599">
        <f>(D228)</f>
        <v>163171.35999999999</v>
      </c>
      <c r="X10"/>
      <c r="Y10"/>
      <c r="Z10"/>
      <c r="AA10"/>
      <c r="AB10"/>
      <c r="AC10"/>
      <c r="AD10"/>
      <c r="AE10"/>
    </row>
    <row r="11" spans="2:32" ht="18" hidden="1" customHeight="1" thickTop="1" thickBot="1">
      <c r="B11" s="1343" t="s">
        <v>885</v>
      </c>
      <c r="C11" s="1047" t="s">
        <v>739</v>
      </c>
      <c r="D11" s="1048">
        <f>IFERROR(SUM(E11:P11),"")</f>
        <v>1761340.904150455</v>
      </c>
      <c r="E11" s="1048">
        <f t="shared" ref="E11:P11" si="11">(E7-E9-E10)</f>
        <v>-326492.59768606088</v>
      </c>
      <c r="F11" s="1048">
        <f t="shared" si="11"/>
        <v>-20922.08882197033</v>
      </c>
      <c r="G11" s="1048">
        <f t="shared" si="11"/>
        <v>445061.09704294463</v>
      </c>
      <c r="H11" s="1048">
        <f t="shared" si="11"/>
        <v>6709.8036937465658</v>
      </c>
      <c r="I11" s="1048">
        <f t="shared" si="11"/>
        <v>290980.75555147859</v>
      </c>
      <c r="J11" s="1048">
        <f t="shared" si="11"/>
        <v>734927.38346139481</v>
      </c>
      <c r="K11" s="1048">
        <f t="shared" si="11"/>
        <v>-284858.84456979536</v>
      </c>
      <c r="L11" s="1048">
        <f t="shared" si="11"/>
        <v>208706.95472849076</v>
      </c>
      <c r="M11" s="1048">
        <f t="shared" si="11"/>
        <v>97691.61570273542</v>
      </c>
      <c r="N11" s="1048">
        <f t="shared" si="11"/>
        <v>131513.31940513771</v>
      </c>
      <c r="O11" s="1048">
        <f t="shared" si="11"/>
        <v>185022.54151611042</v>
      </c>
      <c r="P11" s="1048">
        <f t="shared" si="11"/>
        <v>293000.9641262425</v>
      </c>
      <c r="R11" s="1047" t="s">
        <v>739</v>
      </c>
      <c r="S11" s="1048">
        <f>(S7-S9-S10)</f>
        <v>1761340.9041504564</v>
      </c>
      <c r="T11" s="1370">
        <f>(T7-T9-T10)</f>
        <v>-917876.62547850015</v>
      </c>
      <c r="U11" s="1370">
        <f>(U7-U9-U10)</f>
        <v>272920.03946150001</v>
      </c>
      <c r="V11" s="1370">
        <f>(V7-V9-V10)</f>
        <v>1502182.553511956</v>
      </c>
      <c r="W11" s="1370">
        <f>(W7-W9-W10)</f>
        <v>904114.93665549892</v>
      </c>
      <c r="X11"/>
      <c r="Y11"/>
      <c r="Z11"/>
      <c r="AA11"/>
      <c r="AB11"/>
      <c r="AC11"/>
      <c r="AD11"/>
      <c r="AE11"/>
    </row>
    <row r="12" spans="2:32" ht="18" hidden="1" customHeight="1" outlineLevel="1" thickTop="1">
      <c r="B12" s="1343" t="s">
        <v>885</v>
      </c>
      <c r="C12" s="1050"/>
      <c r="D12" s="1056">
        <f t="shared" ref="D12:P12" si="12">IFERROR(D11/D5,"")</f>
        <v>0.13965650414863243</v>
      </c>
      <c r="E12" s="1056">
        <f t="shared" si="12"/>
        <v>-0.36752346905676131</v>
      </c>
      <c r="F12" s="1056">
        <f t="shared" si="12"/>
        <v>-2.4409704714610649E-2</v>
      </c>
      <c r="G12" s="1056">
        <f t="shared" si="12"/>
        <v>0.2625988686450989</v>
      </c>
      <c r="H12" s="1056">
        <f t="shared" si="12"/>
        <v>5.7900786505068113E-3</v>
      </c>
      <c r="I12" s="1056">
        <f t="shared" si="12"/>
        <v>0.20801686803207575</v>
      </c>
      <c r="J12" s="1056">
        <f t="shared" si="12"/>
        <v>0.44637242589835313</v>
      </c>
      <c r="K12" s="1056">
        <f t="shared" si="12"/>
        <v>-0.2683064811355792</v>
      </c>
      <c r="L12" s="1056">
        <f t="shared" si="12"/>
        <v>0.22188562982639995</v>
      </c>
      <c r="M12" s="1056">
        <f t="shared" si="12"/>
        <v>0.15463467501808117</v>
      </c>
      <c r="N12" s="1056">
        <f t="shared" si="12"/>
        <v>0.19507810589463764</v>
      </c>
      <c r="O12" s="1056">
        <f t="shared" si="12"/>
        <v>0.24092888452592981</v>
      </c>
      <c r="P12" s="1056">
        <f t="shared" si="12"/>
        <v>0.32871668991936093</v>
      </c>
      <c r="R12" s="1050"/>
      <c r="S12" s="1056">
        <f>IFERROR(S11/S5,"")</f>
        <v>0.13965650414863254</v>
      </c>
      <c r="T12" s="1056">
        <f t="shared" ref="T12:W12" si="13">IFERROR(T11/T5,"")</f>
        <v>-5.0804815232340124</v>
      </c>
      <c r="U12" s="1056">
        <f t="shared" si="13"/>
        <v>0.17328883614295884</v>
      </c>
      <c r="V12" s="1056">
        <f t="shared" si="13"/>
        <v>0.2624530045682017</v>
      </c>
      <c r="W12" s="1056">
        <f t="shared" si="13"/>
        <v>0.17614749554935838</v>
      </c>
      <c r="X12"/>
      <c r="Y12"/>
      <c r="Z12"/>
      <c r="AA12"/>
      <c r="AB12"/>
      <c r="AC12"/>
      <c r="AD12"/>
      <c r="AE12"/>
    </row>
    <row r="13" spans="2:32" ht="18" hidden="1" customHeight="1" collapsed="1">
      <c r="B13" s="1343" t="s">
        <v>885</v>
      </c>
      <c r="C13" s="1065" t="s">
        <v>728</v>
      </c>
      <c r="D13" s="1066">
        <f t="shared" ref="D13" si="14">IF(SUM(E13:P13)&gt;0,SUM(E13:P13),"")</f>
        <v>298832.17000000004</v>
      </c>
      <c r="E13" s="1067">
        <f>(E55+E99+E170+E232)</f>
        <v>0</v>
      </c>
      <c r="F13" s="1067">
        <f t="shared" ref="F13:P13" si="15">(F55+F99+F170+F232)</f>
        <v>0</v>
      </c>
      <c r="G13" s="1067">
        <f t="shared" si="15"/>
        <v>0</v>
      </c>
      <c r="H13" s="1067">
        <f t="shared" si="15"/>
        <v>0</v>
      </c>
      <c r="I13" s="1067">
        <f t="shared" si="15"/>
        <v>4640</v>
      </c>
      <c r="J13" s="1067">
        <f t="shared" si="15"/>
        <v>62843.1</v>
      </c>
      <c r="K13" s="1067">
        <f t="shared" si="15"/>
        <v>1675</v>
      </c>
      <c r="L13" s="1067">
        <f t="shared" si="15"/>
        <v>63377.110000000008</v>
      </c>
      <c r="M13" s="1067">
        <f t="shared" si="15"/>
        <v>30257.760000000002</v>
      </c>
      <c r="N13" s="1067">
        <f t="shared" si="15"/>
        <v>131750.35999999999</v>
      </c>
      <c r="O13" s="1067">
        <f t="shared" si="15"/>
        <v>1316</v>
      </c>
      <c r="P13" s="1067">
        <f t="shared" si="15"/>
        <v>2972.84</v>
      </c>
      <c r="R13" s="1065" t="s">
        <v>976</v>
      </c>
      <c r="S13" s="1066">
        <f>(D13)</f>
        <v>298832.17000000004</v>
      </c>
      <c r="T13" s="1067">
        <f>(D55)</f>
        <v>11500</v>
      </c>
      <c r="U13" s="1067" t="str">
        <f>(D99)</f>
        <v/>
      </c>
      <c r="V13" s="1067">
        <f>(D170)</f>
        <v>66824.710000000006</v>
      </c>
      <c r="W13" s="1067">
        <f>(D232)</f>
        <v>220507.46</v>
      </c>
      <c r="X13"/>
      <c r="Y13"/>
      <c r="Z13"/>
      <c r="AA13"/>
      <c r="AB13"/>
      <c r="AC13"/>
      <c r="AD13"/>
      <c r="AE13"/>
    </row>
    <row r="14" spans="2:32" ht="18" hidden="1" customHeight="1">
      <c r="C14" s="834"/>
      <c r="D14" s="82"/>
      <c r="E14" s="82"/>
      <c r="F14" s="82"/>
      <c r="G14" s="82"/>
      <c r="H14" s="82"/>
      <c r="I14" s="82"/>
      <c r="J14" s="82"/>
      <c r="K14" s="82"/>
      <c r="L14" s="82"/>
      <c r="M14" s="82"/>
      <c r="N14" s="82"/>
      <c r="O14" s="82"/>
      <c r="P14" s="82"/>
      <c r="R14" s="834"/>
      <c r="S14" s="82"/>
      <c r="T14" s="82"/>
      <c r="U14" s="82"/>
      <c r="V14" s="82"/>
      <c r="W14" s="82"/>
      <c r="X14" s="82"/>
      <c r="Y14" s="82"/>
      <c r="Z14" s="82"/>
      <c r="AA14" s="82"/>
      <c r="AB14" s="82"/>
      <c r="AC14" s="82"/>
      <c r="AD14" s="82"/>
      <c r="AE14" s="82"/>
    </row>
    <row r="15" spans="2:32" ht="18" hidden="1" customHeight="1">
      <c r="E15" s="1581">
        <v>370</v>
      </c>
      <c r="F15" s="1581">
        <v>379</v>
      </c>
      <c r="G15" s="1581">
        <v>384</v>
      </c>
      <c r="H15" s="1581">
        <v>401</v>
      </c>
      <c r="I15" s="1581">
        <v>409</v>
      </c>
      <c r="J15" s="1581">
        <v>426</v>
      </c>
      <c r="K15" s="1581">
        <v>427</v>
      </c>
      <c r="L15" s="1581">
        <v>494</v>
      </c>
      <c r="M15" s="1581">
        <v>511</v>
      </c>
      <c r="N15" s="1581">
        <v>493</v>
      </c>
      <c r="O15" s="1581">
        <v>481</v>
      </c>
      <c r="P15" s="1581">
        <v>480</v>
      </c>
      <c r="S15"/>
      <c r="T15"/>
      <c r="U15"/>
      <c r="V15"/>
      <c r="W15"/>
      <c r="X15"/>
      <c r="Y15"/>
      <c r="Z15"/>
      <c r="AA15"/>
      <c r="AB15"/>
      <c r="AC15"/>
      <c r="AD15"/>
      <c r="AE15"/>
    </row>
    <row r="16" spans="2:32" s="1294" customFormat="1" ht="18" hidden="1" customHeight="1">
      <c r="B16" s="1139" t="s">
        <v>730</v>
      </c>
      <c r="C16" s="1586" t="s">
        <v>731</v>
      </c>
      <c r="D16" s="1587">
        <f>IFERROR(SUM(D17:D18),"")</f>
        <v>3542.8689999999997</v>
      </c>
      <c r="E16" s="1587">
        <f>SUM(E17:E18)</f>
        <v>145.61999999999989</v>
      </c>
      <c r="F16" s="1587">
        <f>SUM(F17:F18)</f>
        <v>326.8</v>
      </c>
      <c r="G16" s="1587">
        <f>SUM(G17:G18)</f>
        <v>98.1</v>
      </c>
      <c r="H16" s="1587">
        <f>SUM(H17:H18)</f>
        <v>304.61599999999993</v>
      </c>
      <c r="I16" s="1587">
        <f t="shared" ref="I16:P16" si="16">SUM(I17:I18)</f>
        <v>222.76299999999998</v>
      </c>
      <c r="J16" s="1587">
        <f t="shared" si="16"/>
        <v>406.59000000000003</v>
      </c>
      <c r="K16" s="1587">
        <f t="shared" si="16"/>
        <v>701.4</v>
      </c>
      <c r="L16" s="1587">
        <f t="shared" si="16"/>
        <v>599.49</v>
      </c>
      <c r="M16" s="1587">
        <f t="shared" si="16"/>
        <v>0</v>
      </c>
      <c r="N16" s="1587">
        <f t="shared" si="16"/>
        <v>0</v>
      </c>
      <c r="O16" s="1587">
        <f t="shared" si="16"/>
        <v>737.49</v>
      </c>
      <c r="P16" s="1587">
        <f t="shared" si="16"/>
        <v>0</v>
      </c>
      <c r="R16"/>
      <c r="S16"/>
      <c r="T16"/>
      <c r="U16"/>
      <c r="V16"/>
      <c r="W16"/>
      <c r="X16"/>
      <c r="Y16"/>
      <c r="Z16"/>
      <c r="AA16"/>
      <c r="AB16"/>
      <c r="AC16"/>
      <c r="AD16"/>
      <c r="AE16"/>
      <c r="AF16"/>
    </row>
    <row r="17" spans="2:32" s="790" customFormat="1" ht="18" hidden="1" customHeight="1" outlineLevel="1">
      <c r="B17" s="1139" t="s">
        <v>730</v>
      </c>
      <c r="C17" s="1061" t="s">
        <v>745</v>
      </c>
      <c r="D17" s="1062" t="str">
        <f>IFERROR(AVERAGE(E17:P17),"")</f>
        <v/>
      </c>
      <c r="E17" s="1062"/>
      <c r="F17" s="1062"/>
      <c r="G17" s="1062"/>
      <c r="H17" s="1062"/>
      <c r="I17" s="1062"/>
      <c r="J17" s="1062"/>
      <c r="K17" s="1062"/>
      <c r="L17" s="1062"/>
      <c r="M17" s="1062"/>
      <c r="N17" s="1062"/>
      <c r="O17" s="1062"/>
      <c r="P17" s="1062"/>
      <c r="R17"/>
      <c r="S17"/>
      <c r="T17"/>
      <c r="U17"/>
      <c r="V17"/>
      <c r="W17"/>
      <c r="X17"/>
      <c r="Y17"/>
      <c r="Z17"/>
      <c r="AA17"/>
      <c r="AB17"/>
      <c r="AC17"/>
      <c r="AD17"/>
      <c r="AE17"/>
      <c r="AF17"/>
    </row>
    <row r="18" spans="2:32" s="790" customFormat="1" ht="18" hidden="1" customHeight="1" outlineLevel="1">
      <c r="B18" s="1139" t="s">
        <v>730</v>
      </c>
      <c r="C18" s="1063" t="s">
        <v>744</v>
      </c>
      <c r="D18" s="1064">
        <f>IFERROR(SUM(E18:P18),"")</f>
        <v>3542.8689999999997</v>
      </c>
      <c r="E18" s="1064">
        <f>7419.32-7273.7</f>
        <v>145.61999999999989</v>
      </c>
      <c r="F18" s="1064">
        <v>326.8</v>
      </c>
      <c r="G18" s="1064">
        <v>98.1</v>
      </c>
      <c r="H18" s="1064">
        <v>304.61599999999993</v>
      </c>
      <c r="I18" s="1064">
        <v>222.76299999999998</v>
      </c>
      <c r="J18" s="1064">
        <v>406.59000000000003</v>
      </c>
      <c r="K18" s="1064">
        <v>701.4</v>
      </c>
      <c r="L18" s="1064">
        <v>599.49</v>
      </c>
      <c r="M18" s="1064"/>
      <c r="N18" s="1064"/>
      <c r="O18" s="1064">
        <v>737.49</v>
      </c>
      <c r="P18" s="1064"/>
      <c r="R18"/>
      <c r="S18"/>
      <c r="T18"/>
      <c r="U18"/>
      <c r="V18"/>
      <c r="W18"/>
      <c r="X18"/>
      <c r="Y18"/>
      <c r="Z18"/>
      <c r="AA18"/>
      <c r="AB18"/>
      <c r="AC18"/>
      <c r="AD18"/>
      <c r="AE18"/>
      <c r="AF18"/>
    </row>
    <row r="19" spans="2:32" s="1294" customFormat="1" ht="18" hidden="1" customHeight="1" collapsed="1">
      <c r="B19" s="1139" t="s">
        <v>730</v>
      </c>
      <c r="C19" s="1582" t="s">
        <v>732</v>
      </c>
      <c r="D19" s="1584">
        <f>IFERROR(SUM(D20:D21),"")</f>
        <v>2184.5</v>
      </c>
      <c r="E19" s="1585">
        <f>SUM(E20:E22)</f>
        <v>222</v>
      </c>
      <c r="F19" s="1585">
        <f>SUM(F20:F22)</f>
        <v>156</v>
      </c>
      <c r="G19" s="1585">
        <f t="shared" ref="G19:O19" si="17">SUM(G20:G22)</f>
        <v>183</v>
      </c>
      <c r="H19" s="1585">
        <f t="shared" si="17"/>
        <v>40</v>
      </c>
      <c r="I19" s="1585">
        <f t="shared" si="17"/>
        <v>113</v>
      </c>
      <c r="J19" s="1585">
        <f t="shared" si="17"/>
        <v>137</v>
      </c>
      <c r="K19" s="1585">
        <f t="shared" si="17"/>
        <v>135</v>
      </c>
      <c r="L19" s="1585">
        <f t="shared" si="17"/>
        <v>73</v>
      </c>
      <c r="M19" s="1585">
        <f t="shared" si="17"/>
        <v>107</v>
      </c>
      <c r="N19" s="1585">
        <f t="shared" si="17"/>
        <v>580.5</v>
      </c>
      <c r="O19" s="1585">
        <f t="shared" si="17"/>
        <v>218</v>
      </c>
      <c r="P19" s="1585">
        <f>SUM(P20:P22)</f>
        <v>220</v>
      </c>
      <c r="R19"/>
      <c r="S19"/>
      <c r="T19"/>
      <c r="U19"/>
      <c r="V19"/>
      <c r="W19"/>
      <c r="X19"/>
      <c r="Y19"/>
      <c r="Z19"/>
      <c r="AA19"/>
      <c r="AB19"/>
      <c r="AC19"/>
      <c r="AD19"/>
      <c r="AE19"/>
      <c r="AF19"/>
    </row>
    <row r="20" spans="2:32" ht="18" hidden="1" customHeight="1" outlineLevel="1">
      <c r="B20" s="1139" t="s">
        <v>730</v>
      </c>
      <c r="C20" s="158" t="s">
        <v>750</v>
      </c>
      <c r="D20" s="1062">
        <f>IFERROR(AVERAGE(E20:P20),"")</f>
        <v>0</v>
      </c>
      <c r="E20" s="674">
        <f>(E17)</f>
        <v>0</v>
      </c>
      <c r="F20" s="1581">
        <f t="shared" ref="F20:P20" si="18">(F17)</f>
        <v>0</v>
      </c>
      <c r="G20" s="1581">
        <f t="shared" si="18"/>
        <v>0</v>
      </c>
      <c r="H20" s="1581">
        <f t="shared" si="18"/>
        <v>0</v>
      </c>
      <c r="I20" s="1581">
        <f t="shared" si="18"/>
        <v>0</v>
      </c>
      <c r="J20" s="1581">
        <f t="shared" si="18"/>
        <v>0</v>
      </c>
      <c r="K20" s="1581">
        <f t="shared" si="18"/>
        <v>0</v>
      </c>
      <c r="L20" s="1581">
        <f t="shared" si="18"/>
        <v>0</v>
      </c>
      <c r="M20" s="1581">
        <f t="shared" si="18"/>
        <v>0</v>
      </c>
      <c r="N20" s="1581">
        <f t="shared" si="18"/>
        <v>0</v>
      </c>
      <c r="O20" s="1581">
        <f t="shared" si="18"/>
        <v>0</v>
      </c>
      <c r="P20" s="1581">
        <f t="shared" si="18"/>
        <v>0</v>
      </c>
      <c r="S20"/>
      <c r="T20"/>
      <c r="U20"/>
      <c r="V20"/>
      <c r="W20"/>
      <c r="X20"/>
      <c r="Y20"/>
      <c r="Z20"/>
      <c r="AA20"/>
      <c r="AB20"/>
      <c r="AC20"/>
      <c r="AD20"/>
      <c r="AE20"/>
    </row>
    <row r="21" spans="2:32" ht="18" hidden="1" customHeight="1" outlineLevel="1">
      <c r="B21" s="1139" t="s">
        <v>730</v>
      </c>
      <c r="C21" s="158" t="s">
        <v>749</v>
      </c>
      <c r="D21" s="674">
        <f>IFERROR(SUM(E21:P21),"")</f>
        <v>2184.5</v>
      </c>
      <c r="E21" s="1581">
        <v>222</v>
      </c>
      <c r="F21" s="1581">
        <v>156</v>
      </c>
      <c r="G21" s="1581">
        <v>183</v>
      </c>
      <c r="H21" s="1581">
        <v>40</v>
      </c>
      <c r="I21" s="1581">
        <v>113</v>
      </c>
      <c r="J21" s="1581">
        <v>137</v>
      </c>
      <c r="K21" s="1581">
        <v>135</v>
      </c>
      <c r="L21" s="1581">
        <v>73</v>
      </c>
      <c r="M21" s="1581">
        <v>107</v>
      </c>
      <c r="N21" s="1581">
        <v>580.5</v>
      </c>
      <c r="O21" s="1581">
        <v>218</v>
      </c>
      <c r="P21" s="1581">
        <v>220</v>
      </c>
      <c r="S21"/>
      <c r="T21"/>
      <c r="U21"/>
      <c r="V21"/>
      <c r="W21"/>
      <c r="X21"/>
      <c r="Y21"/>
      <c r="Z21"/>
      <c r="AA21"/>
      <c r="AB21"/>
      <c r="AC21"/>
      <c r="AD21"/>
      <c r="AE21"/>
    </row>
    <row r="22" spans="2:32" ht="18" hidden="1" customHeight="1" outlineLevel="1">
      <c r="B22" s="1139" t="s">
        <v>730</v>
      </c>
      <c r="C22" s="158" t="s">
        <v>751</v>
      </c>
      <c r="D22" s="674">
        <f>IFERROR(SUM(E22:P22),"")</f>
        <v>0</v>
      </c>
      <c r="S22"/>
      <c r="T22"/>
      <c r="U22"/>
      <c r="V22"/>
      <c r="W22"/>
      <c r="X22"/>
      <c r="Y22"/>
      <c r="Z22"/>
      <c r="AA22"/>
      <c r="AB22"/>
      <c r="AC22"/>
      <c r="AD22"/>
      <c r="AE22"/>
    </row>
    <row r="23" spans="2:32" ht="18" hidden="1" customHeight="1" outlineLevel="1">
      <c r="B23" s="1139" t="s">
        <v>730</v>
      </c>
      <c r="C23" s="158" t="s">
        <v>734</v>
      </c>
      <c r="D23" s="674">
        <f>IFERROR(SUM(E23:P23),"")</f>
        <v>55</v>
      </c>
      <c r="E23" s="1581">
        <v>17</v>
      </c>
      <c r="F23" s="1581">
        <v>19</v>
      </c>
      <c r="G23" s="1581">
        <v>1</v>
      </c>
      <c r="H23" s="1581">
        <v>1</v>
      </c>
      <c r="I23" s="1581">
        <v>4</v>
      </c>
      <c r="J23" s="1581">
        <v>1</v>
      </c>
      <c r="K23" s="1581">
        <v>1.5</v>
      </c>
      <c r="M23" s="1581">
        <v>9.5</v>
      </c>
      <c r="N23" s="1581">
        <v>1</v>
      </c>
      <c r="S23"/>
      <c r="T23"/>
      <c r="U23"/>
      <c r="V23"/>
      <c r="W23"/>
      <c r="X23"/>
      <c r="Y23"/>
      <c r="Z23"/>
      <c r="AA23"/>
      <c r="AB23"/>
      <c r="AC23"/>
      <c r="AD23"/>
      <c r="AE23"/>
    </row>
    <row r="24" spans="2:32" ht="18" hidden="1" customHeight="1" outlineLevel="1">
      <c r="B24" s="1139" t="s">
        <v>730</v>
      </c>
      <c r="C24" s="158" t="s">
        <v>748</v>
      </c>
      <c r="D24" s="480" t="str">
        <f>IFERROR(AVERAGE(E24:P24),"")</f>
        <v/>
      </c>
      <c r="E24" s="480"/>
      <c r="F24" s="480"/>
      <c r="G24" s="480"/>
      <c r="H24" s="480"/>
      <c r="I24" s="480"/>
      <c r="J24" s="480"/>
      <c r="K24" s="480"/>
      <c r="L24" s="480"/>
      <c r="M24" s="480"/>
      <c r="N24" s="480"/>
      <c r="O24" s="480"/>
      <c r="P24" s="480"/>
      <c r="S24"/>
      <c r="T24"/>
      <c r="U24"/>
      <c r="V24"/>
      <c r="W24"/>
      <c r="X24"/>
      <c r="Y24"/>
      <c r="Z24"/>
      <c r="AA24"/>
      <c r="AB24"/>
      <c r="AC24"/>
      <c r="AD24"/>
      <c r="AE24"/>
    </row>
    <row r="25" spans="2:32" ht="18" hidden="1" customHeight="1" outlineLevel="1">
      <c r="B25" s="1139" t="s">
        <v>730</v>
      </c>
      <c r="C25" s="158" t="s">
        <v>735</v>
      </c>
      <c r="D25" s="480">
        <f>IFERROR(AVERAGE(E25:P25),"")</f>
        <v>82.625</v>
      </c>
      <c r="E25" s="480">
        <v>82.5</v>
      </c>
      <c r="F25" s="480">
        <v>82.5</v>
      </c>
      <c r="G25" s="480">
        <v>82.5</v>
      </c>
      <c r="H25" s="480">
        <v>82.5</v>
      </c>
      <c r="I25" s="480">
        <v>82.5</v>
      </c>
      <c r="J25" s="480">
        <v>82.5</v>
      </c>
      <c r="K25" s="480">
        <v>82</v>
      </c>
      <c r="L25" s="480">
        <v>82</v>
      </c>
      <c r="M25" s="480">
        <v>82.5</v>
      </c>
      <c r="N25" s="480">
        <v>82.5</v>
      </c>
      <c r="O25" s="480">
        <v>82.5</v>
      </c>
      <c r="P25" s="480">
        <v>85</v>
      </c>
      <c r="S25"/>
      <c r="T25"/>
      <c r="U25"/>
      <c r="V25"/>
      <c r="W25"/>
      <c r="X25"/>
      <c r="Y25"/>
      <c r="Z25"/>
      <c r="AA25"/>
      <c r="AB25"/>
      <c r="AC25"/>
      <c r="AD25"/>
      <c r="AE25"/>
    </row>
    <row r="26" spans="2:32" ht="18" hidden="1" customHeight="1" outlineLevel="1">
      <c r="B26" s="1139" t="s">
        <v>730</v>
      </c>
      <c r="C26" s="158" t="s">
        <v>747</v>
      </c>
      <c r="D26" s="480">
        <f>IFERROR(AVERAGE(E26:P26),"")</f>
        <v>82.416666666666671</v>
      </c>
      <c r="E26" s="480">
        <v>82.5</v>
      </c>
      <c r="F26" s="480">
        <v>82.5</v>
      </c>
      <c r="G26" s="480">
        <v>82.5</v>
      </c>
      <c r="H26" s="480">
        <v>82.5</v>
      </c>
      <c r="I26" s="480">
        <v>82.5</v>
      </c>
      <c r="J26" s="480">
        <v>82.5</v>
      </c>
      <c r="K26" s="480">
        <v>82</v>
      </c>
      <c r="L26" s="480">
        <v>82</v>
      </c>
      <c r="M26" s="480">
        <v>82.5</v>
      </c>
      <c r="N26" s="480">
        <v>82.5</v>
      </c>
      <c r="O26" s="480">
        <v>82.5</v>
      </c>
      <c r="P26" s="480">
        <v>82.5</v>
      </c>
      <c r="S26"/>
      <c r="T26"/>
      <c r="U26"/>
      <c r="V26"/>
      <c r="W26"/>
      <c r="X26"/>
      <c r="Y26"/>
      <c r="Z26"/>
      <c r="AA26"/>
      <c r="AB26"/>
      <c r="AC26"/>
      <c r="AD26"/>
      <c r="AE26"/>
    </row>
    <row r="27" spans="2:32" s="1294" customFormat="1" ht="18" hidden="1" customHeight="1" collapsed="1">
      <c r="B27" s="1139" t="s">
        <v>730</v>
      </c>
      <c r="C27" s="1582" t="s">
        <v>736</v>
      </c>
      <c r="D27" s="1583">
        <f>IFERROR(SUM(E27:P27),"")</f>
        <v>180667.25</v>
      </c>
      <c r="E27" s="1583">
        <f>SUM(E28:E30)</f>
        <v>18315</v>
      </c>
      <c r="F27" s="1583">
        <f>SUM(F28:F30)</f>
        <v>12870</v>
      </c>
      <c r="G27" s="1583">
        <f t="shared" ref="G27:P27" si="19">SUM(G28:G30)</f>
        <v>15097.5</v>
      </c>
      <c r="H27" s="1583">
        <f t="shared" si="19"/>
        <v>3300</v>
      </c>
      <c r="I27" s="1583">
        <f t="shared" si="19"/>
        <v>9322.5</v>
      </c>
      <c r="J27" s="1583">
        <f t="shared" si="19"/>
        <v>11302.5</v>
      </c>
      <c r="K27" s="1583">
        <f t="shared" si="19"/>
        <v>11070</v>
      </c>
      <c r="L27" s="1583">
        <f t="shared" si="19"/>
        <v>5986</v>
      </c>
      <c r="M27" s="1583">
        <f t="shared" si="19"/>
        <v>8827.5</v>
      </c>
      <c r="N27" s="1583">
        <f t="shared" si="19"/>
        <v>47891.25</v>
      </c>
      <c r="O27" s="1583">
        <f t="shared" si="19"/>
        <v>17985</v>
      </c>
      <c r="P27" s="1583">
        <f t="shared" si="19"/>
        <v>18700</v>
      </c>
      <c r="R27"/>
      <c r="S27"/>
      <c r="T27"/>
      <c r="U27"/>
      <c r="V27"/>
      <c r="W27"/>
      <c r="X27"/>
      <c r="Y27"/>
      <c r="Z27"/>
      <c r="AA27"/>
      <c r="AB27"/>
      <c r="AC27"/>
      <c r="AD27"/>
      <c r="AE27"/>
      <c r="AF27"/>
    </row>
    <row r="28" spans="2:32" ht="18" hidden="1" customHeight="1" outlineLevel="1">
      <c r="B28" s="1139" t="s">
        <v>730</v>
      </c>
      <c r="C28" s="158" t="s">
        <v>746</v>
      </c>
      <c r="D28" s="1037" t="str">
        <f>IF(SUM(E28:P28)&gt;0,SUM(E28:P28),"")</f>
        <v/>
      </c>
      <c r="E28" s="1037" t="str">
        <f>IF((E24*E20)&gt;0,(E24*E20),"")</f>
        <v/>
      </c>
      <c r="F28" s="1037" t="str">
        <f t="shared" ref="F28:P30" si="20">IF((F24*F20)&gt;0,(F24*F20),"")</f>
        <v/>
      </c>
      <c r="G28" s="1037" t="str">
        <f t="shared" si="20"/>
        <v/>
      </c>
      <c r="H28" s="1037" t="str">
        <f t="shared" si="20"/>
        <v/>
      </c>
      <c r="I28" s="1037" t="str">
        <f t="shared" si="20"/>
        <v/>
      </c>
      <c r="J28" s="1037" t="str">
        <f t="shared" si="20"/>
        <v/>
      </c>
      <c r="K28" s="1037" t="str">
        <f t="shared" si="20"/>
        <v/>
      </c>
      <c r="L28" s="1037" t="str">
        <f t="shared" si="20"/>
        <v/>
      </c>
      <c r="M28" s="1037" t="str">
        <f t="shared" si="20"/>
        <v/>
      </c>
      <c r="N28" s="1037" t="str">
        <f t="shared" si="20"/>
        <v/>
      </c>
      <c r="O28" s="1037" t="str">
        <f t="shared" si="20"/>
        <v/>
      </c>
      <c r="P28" s="1037" t="str">
        <f t="shared" si="20"/>
        <v/>
      </c>
      <c r="S28"/>
      <c r="T28"/>
      <c r="U28"/>
      <c r="V28"/>
      <c r="W28"/>
      <c r="X28"/>
      <c r="Y28"/>
      <c r="Z28"/>
      <c r="AA28"/>
      <c r="AB28"/>
      <c r="AC28"/>
      <c r="AD28"/>
      <c r="AE28"/>
    </row>
    <row r="29" spans="2:32" ht="18" hidden="1" customHeight="1" outlineLevel="1">
      <c r="B29" s="1139" t="s">
        <v>730</v>
      </c>
      <c r="C29" s="158" t="s">
        <v>733</v>
      </c>
      <c r="D29" s="1037">
        <f t="shared" ref="D29:D30" si="21">IF(SUM(E29:P29)&gt;0,SUM(E29:P29),"")</f>
        <v>180667.25</v>
      </c>
      <c r="E29" s="1037">
        <f>IF((E25*E21)&gt;0,(E25*E21),"")</f>
        <v>18315</v>
      </c>
      <c r="F29" s="1037">
        <f t="shared" si="20"/>
        <v>12870</v>
      </c>
      <c r="G29" s="1037">
        <f t="shared" si="20"/>
        <v>15097.5</v>
      </c>
      <c r="H29" s="1037">
        <f t="shared" si="20"/>
        <v>3300</v>
      </c>
      <c r="I29" s="1037">
        <f t="shared" si="20"/>
        <v>9322.5</v>
      </c>
      <c r="J29" s="1037">
        <f t="shared" si="20"/>
        <v>11302.5</v>
      </c>
      <c r="K29" s="1037">
        <f t="shared" si="20"/>
        <v>11070</v>
      </c>
      <c r="L29" s="1037">
        <f t="shared" si="20"/>
        <v>5986</v>
      </c>
      <c r="M29" s="1037">
        <f t="shared" si="20"/>
        <v>8827.5</v>
      </c>
      <c r="N29" s="1037">
        <f t="shared" si="20"/>
        <v>47891.25</v>
      </c>
      <c r="O29" s="1037">
        <f t="shared" si="20"/>
        <v>17985</v>
      </c>
      <c r="P29" s="1037">
        <f t="shared" si="20"/>
        <v>18700</v>
      </c>
      <c r="S29"/>
      <c r="T29"/>
      <c r="U29"/>
      <c r="V29"/>
      <c r="W29"/>
      <c r="X29"/>
      <c r="Y29"/>
      <c r="Z29"/>
      <c r="AA29"/>
      <c r="AB29"/>
      <c r="AC29"/>
      <c r="AD29"/>
      <c r="AE29"/>
    </row>
    <row r="30" spans="2:32" ht="18" hidden="1" customHeight="1" outlineLevel="1">
      <c r="B30" s="1139" t="s">
        <v>730</v>
      </c>
      <c r="C30" s="158" t="s">
        <v>737</v>
      </c>
      <c r="D30" s="1037" t="str">
        <f t="shared" si="21"/>
        <v/>
      </c>
      <c r="E30" s="1037" t="str">
        <f>IF((E26*E22)&gt;0,(E26*E22),"")</f>
        <v/>
      </c>
      <c r="F30" s="1037" t="str">
        <f t="shared" si="20"/>
        <v/>
      </c>
      <c r="G30" s="1037" t="str">
        <f t="shared" si="20"/>
        <v/>
      </c>
      <c r="H30" s="1037" t="str">
        <f t="shared" si="20"/>
        <v/>
      </c>
      <c r="I30" s="1037" t="str">
        <f t="shared" si="20"/>
        <v/>
      </c>
      <c r="J30" s="1037" t="str">
        <f t="shared" si="20"/>
        <v/>
      </c>
      <c r="K30" s="1037" t="str">
        <f t="shared" si="20"/>
        <v/>
      </c>
      <c r="L30" s="1037" t="str">
        <f t="shared" si="20"/>
        <v/>
      </c>
      <c r="M30" s="1037" t="str">
        <f t="shared" si="20"/>
        <v/>
      </c>
      <c r="N30" s="1037" t="str">
        <f t="shared" si="20"/>
        <v/>
      </c>
      <c r="O30" s="1037" t="str">
        <f t="shared" si="20"/>
        <v/>
      </c>
      <c r="P30" s="1037" t="str">
        <f t="shared" si="20"/>
        <v/>
      </c>
      <c r="S30"/>
      <c r="T30"/>
      <c r="U30"/>
      <c r="V30"/>
      <c r="W30"/>
      <c r="X30"/>
      <c r="Y30"/>
      <c r="Z30"/>
      <c r="AA30"/>
      <c r="AB30"/>
      <c r="AC30"/>
      <c r="AD30"/>
      <c r="AE30"/>
    </row>
    <row r="31" spans="2:32" s="1294" customFormat="1" ht="18" hidden="1" customHeight="1" collapsed="1">
      <c r="B31" s="1139" t="s">
        <v>730</v>
      </c>
      <c r="C31" s="1582" t="s">
        <v>738</v>
      </c>
      <c r="D31" s="1593">
        <f>IFERROR(SUM(E31:P31),"")</f>
        <v>705770.11929000006</v>
      </c>
      <c r="E31" s="1593">
        <f t="shared" ref="E31:P31" si="22">SUM(E32:E41)</f>
        <v>47470.400000000001</v>
      </c>
      <c r="F31" s="1593">
        <f>SUM(F32:F41)</f>
        <v>47422.083700000003</v>
      </c>
      <c r="G31" s="1593">
        <f t="shared" si="22"/>
        <v>57669.395410000005</v>
      </c>
      <c r="H31" s="1593">
        <f t="shared" si="22"/>
        <v>47693.85</v>
      </c>
      <c r="I31" s="1593">
        <f t="shared" si="22"/>
        <v>47919.82</v>
      </c>
      <c r="J31" s="1593">
        <f t="shared" si="22"/>
        <v>57576.14</v>
      </c>
      <c r="K31" s="1593">
        <f t="shared" si="22"/>
        <v>62104.619679999996</v>
      </c>
      <c r="L31" s="1593">
        <f t="shared" si="22"/>
        <v>92606.63</v>
      </c>
      <c r="M31" s="1593">
        <f t="shared" si="22"/>
        <v>54204.980499999998</v>
      </c>
      <c r="N31" s="1593">
        <f t="shared" si="22"/>
        <v>65492.840000000004</v>
      </c>
      <c r="O31" s="1593">
        <f t="shared" si="22"/>
        <v>80664.070000000007</v>
      </c>
      <c r="P31" s="1593">
        <f t="shared" si="22"/>
        <v>44945.290000000008</v>
      </c>
      <c r="R31"/>
      <c r="S31"/>
      <c r="T31"/>
      <c r="U31"/>
      <c r="V31"/>
      <c r="W31"/>
      <c r="X31"/>
      <c r="Y31"/>
      <c r="Z31"/>
      <c r="AA31"/>
      <c r="AB31"/>
      <c r="AC31"/>
      <c r="AD31"/>
      <c r="AE31"/>
      <c r="AF31"/>
    </row>
    <row r="32" spans="2:32" ht="18" hidden="1" customHeight="1" outlineLevel="1">
      <c r="B32" s="1139" t="s">
        <v>730</v>
      </c>
      <c r="C32" s="1028" t="s">
        <v>722</v>
      </c>
      <c r="D32" s="1041">
        <f t="shared" ref="D32:D59" si="23">IF(SUM(E32:P32)&gt;0,SUM(E32:P32),"")</f>
        <v>33000</v>
      </c>
      <c r="E32" s="1036"/>
      <c r="F32" s="1036"/>
      <c r="G32" s="1036"/>
      <c r="H32" s="1036"/>
      <c r="I32" s="1036"/>
      <c r="J32" s="1036"/>
      <c r="K32" s="1038">
        <v>6600</v>
      </c>
      <c r="L32" s="1038">
        <v>13200</v>
      </c>
      <c r="M32" s="1038">
        <v>6600</v>
      </c>
      <c r="N32" s="1038">
        <v>6600</v>
      </c>
      <c r="O32" s="1038"/>
      <c r="P32" s="1038"/>
      <c r="S32"/>
      <c r="T32"/>
      <c r="U32"/>
      <c r="V32"/>
      <c r="W32"/>
      <c r="X32"/>
      <c r="Y32"/>
      <c r="Z32"/>
      <c r="AA32"/>
      <c r="AB32"/>
      <c r="AC32"/>
      <c r="AD32"/>
      <c r="AE32"/>
    </row>
    <row r="33" spans="2:32" ht="18" hidden="1" customHeight="1" outlineLevel="1">
      <c r="B33" s="1139" t="s">
        <v>730</v>
      </c>
      <c r="C33" s="1028" t="s">
        <v>723</v>
      </c>
      <c r="D33" s="1041">
        <f t="shared" si="23"/>
        <v>33072</v>
      </c>
      <c r="E33" s="1036"/>
      <c r="F33" s="1036"/>
      <c r="G33" s="1036"/>
      <c r="H33" s="1036"/>
      <c r="I33" s="1036"/>
      <c r="J33" s="1036"/>
      <c r="K33" s="1038"/>
      <c r="L33" s="1038">
        <v>15000</v>
      </c>
      <c r="M33" s="1038">
        <v>2280</v>
      </c>
      <c r="N33" s="1038">
        <v>6768</v>
      </c>
      <c r="O33" s="1038">
        <v>9024</v>
      </c>
      <c r="P33" s="1038"/>
      <c r="S33"/>
      <c r="T33"/>
      <c r="U33"/>
      <c r="V33"/>
      <c r="W33"/>
      <c r="X33"/>
      <c r="Y33"/>
      <c r="Z33"/>
      <c r="AA33"/>
      <c r="AB33"/>
      <c r="AC33"/>
      <c r="AD33"/>
      <c r="AE33"/>
    </row>
    <row r="34" spans="2:32" ht="18" hidden="1" customHeight="1" outlineLevel="1">
      <c r="B34" s="1139" t="s">
        <v>730</v>
      </c>
      <c r="C34" s="1028" t="s">
        <v>724</v>
      </c>
      <c r="D34" s="1041">
        <f t="shared" si="23"/>
        <v>185</v>
      </c>
      <c r="E34" s="1036"/>
      <c r="F34" s="1036"/>
      <c r="G34" s="1036"/>
      <c r="H34" s="1036"/>
      <c r="I34" s="1036"/>
      <c r="J34" s="1036"/>
      <c r="K34" s="1038"/>
      <c r="L34" s="1038"/>
      <c r="M34" s="1038">
        <v>185</v>
      </c>
      <c r="N34" s="1038"/>
      <c r="O34" s="1038"/>
      <c r="P34" s="1038"/>
      <c r="S34"/>
      <c r="T34"/>
      <c r="U34"/>
      <c r="V34"/>
      <c r="W34"/>
      <c r="X34"/>
      <c r="Y34"/>
      <c r="Z34"/>
      <c r="AA34"/>
      <c r="AB34"/>
      <c r="AC34"/>
      <c r="AD34"/>
      <c r="AE34"/>
    </row>
    <row r="35" spans="2:32" ht="18" hidden="1" customHeight="1" outlineLevel="1">
      <c r="B35" s="1139" t="s">
        <v>730</v>
      </c>
      <c r="C35" s="1028" t="s">
        <v>725</v>
      </c>
      <c r="D35" s="1041">
        <f t="shared" si="23"/>
        <v>10314.56</v>
      </c>
      <c r="E35" s="1036"/>
      <c r="F35" s="1036"/>
      <c r="G35" s="1036"/>
      <c r="H35" s="1036"/>
      <c r="I35" s="1036"/>
      <c r="J35" s="1036"/>
      <c r="K35" s="1038"/>
      <c r="L35" s="1038"/>
      <c r="M35" s="1038">
        <v>139.19999999999999</v>
      </c>
      <c r="N35" s="1038"/>
      <c r="O35" s="1038">
        <v>7673.76</v>
      </c>
      <c r="P35" s="1038">
        <v>2501.6</v>
      </c>
      <c r="S35"/>
      <c r="T35"/>
      <c r="U35"/>
      <c r="V35"/>
      <c r="W35"/>
      <c r="X35"/>
      <c r="Y35"/>
      <c r="Z35"/>
      <c r="AA35"/>
      <c r="AB35"/>
      <c r="AC35"/>
      <c r="AD35"/>
      <c r="AE35"/>
    </row>
    <row r="36" spans="2:32" ht="18" hidden="1" customHeight="1" outlineLevel="1">
      <c r="B36" s="1139" t="s">
        <v>730</v>
      </c>
      <c r="C36" s="1028" t="s">
        <v>726</v>
      </c>
      <c r="D36" s="1041">
        <f t="shared" si="23"/>
        <v>39011.5</v>
      </c>
      <c r="E36" s="1036"/>
      <c r="F36" s="1036"/>
      <c r="G36" s="1038">
        <v>5007.5</v>
      </c>
      <c r="H36" s="1038">
        <v>4561.8900000000003</v>
      </c>
      <c r="I36" s="1036"/>
      <c r="J36" s="1036"/>
      <c r="K36" s="1038">
        <f>1239.8+5002.3</f>
        <v>6242.1</v>
      </c>
      <c r="L36" s="1038">
        <f>37.44+6329.38</f>
        <v>6366.82</v>
      </c>
      <c r="M36" s="1038">
        <v>4708.08</v>
      </c>
      <c r="N36" s="1038">
        <v>3896.0200000000004</v>
      </c>
      <c r="O36" s="1038">
        <f>813.19+5698.9</f>
        <v>6512.09</v>
      </c>
      <c r="P36" s="1038">
        <v>1717</v>
      </c>
      <c r="S36"/>
      <c r="T36"/>
      <c r="U36"/>
      <c r="V36"/>
      <c r="W36"/>
      <c r="X36"/>
      <c r="Y36"/>
      <c r="Z36"/>
      <c r="AA36"/>
      <c r="AB36"/>
      <c r="AC36"/>
      <c r="AD36"/>
      <c r="AE36"/>
    </row>
    <row r="37" spans="2:32" ht="18" hidden="1" customHeight="1" outlineLevel="1">
      <c r="B37" s="1139" t="s">
        <v>730</v>
      </c>
      <c r="C37" s="1028" t="s">
        <v>721</v>
      </c>
      <c r="D37" s="1041">
        <f t="shared" si="23"/>
        <v>37543.877679999998</v>
      </c>
      <c r="E37" s="1037">
        <v>0</v>
      </c>
      <c r="F37" s="1037">
        <v>6410</v>
      </c>
      <c r="G37" s="1037">
        <v>5342.3</v>
      </c>
      <c r="H37" s="1037">
        <v>475.41999999999996</v>
      </c>
      <c r="I37" s="1037">
        <v>6780</v>
      </c>
      <c r="J37" s="1037">
        <v>2280</v>
      </c>
      <c r="K37" s="1038">
        <v>1188.6496799999998</v>
      </c>
      <c r="L37" s="1038">
        <v>2300.2799999999997</v>
      </c>
      <c r="M37" s="1038">
        <v>685.22800000000007</v>
      </c>
      <c r="N37" s="1038">
        <v>4000</v>
      </c>
      <c r="O37" s="1038">
        <v>8082</v>
      </c>
      <c r="P37" s="1038"/>
      <c r="S37"/>
      <c r="T37"/>
      <c r="U37"/>
      <c r="V37"/>
      <c r="W37"/>
      <c r="X37"/>
      <c r="Y37"/>
      <c r="Z37"/>
      <c r="AA37"/>
      <c r="AB37"/>
      <c r="AC37"/>
      <c r="AD37"/>
      <c r="AE37"/>
    </row>
    <row r="38" spans="2:32" ht="18" hidden="1" customHeight="1" outlineLevel="1">
      <c r="B38" s="1139" t="s">
        <v>730</v>
      </c>
      <c r="C38" s="1028" t="s">
        <v>727</v>
      </c>
      <c r="D38" s="1041">
        <f t="shared" si="23"/>
        <v>5967.1399999999994</v>
      </c>
      <c r="E38" s="1036"/>
      <c r="F38" s="1036"/>
      <c r="G38" s="1036"/>
      <c r="H38" s="1036"/>
      <c r="I38" s="1036"/>
      <c r="J38" s="1036"/>
      <c r="K38" s="1038">
        <v>5967.1399999999994</v>
      </c>
      <c r="L38" s="1038"/>
      <c r="M38" s="1038"/>
      <c r="N38" s="1038"/>
      <c r="O38" s="1038"/>
      <c r="P38" s="1038"/>
      <c r="S38"/>
      <c r="T38"/>
      <c r="U38"/>
      <c r="V38"/>
      <c r="W38"/>
      <c r="X38"/>
      <c r="Y38"/>
      <c r="Z38"/>
      <c r="AA38"/>
      <c r="AB38"/>
      <c r="AC38"/>
      <c r="AD38"/>
      <c r="AE38"/>
    </row>
    <row r="39" spans="2:32" ht="18" hidden="1" customHeight="1" outlineLevel="1">
      <c r="B39" s="1139" t="s">
        <v>730</v>
      </c>
      <c r="C39" s="158" t="s">
        <v>717</v>
      </c>
      <c r="D39" s="1041">
        <f t="shared" si="23"/>
        <v>120965.21910999998</v>
      </c>
      <c r="E39" s="1037">
        <v>8770.4</v>
      </c>
      <c r="F39" s="1037">
        <v>8543.9737000000005</v>
      </c>
      <c r="G39" s="1037">
        <v>10773.115409999999</v>
      </c>
      <c r="H39" s="1037">
        <v>8286.51</v>
      </c>
      <c r="I39" s="1037">
        <v>9716.5300000000007</v>
      </c>
      <c r="J39" s="1037">
        <v>11095.570000000002</v>
      </c>
      <c r="K39" s="1038">
        <v>12011.839999999998</v>
      </c>
      <c r="L39" s="1038">
        <v>12317.310000000001</v>
      </c>
      <c r="M39" s="1038">
        <v>9750.48</v>
      </c>
      <c r="N39" s="1038">
        <v>7304.95</v>
      </c>
      <c r="O39" s="1038">
        <v>11272.230000000001</v>
      </c>
      <c r="P39" s="1038">
        <v>11122.310000000001</v>
      </c>
      <c r="S39"/>
      <c r="T39"/>
      <c r="U39"/>
      <c r="V39"/>
      <c r="W39"/>
      <c r="X39"/>
      <c r="Y39"/>
      <c r="Z39"/>
      <c r="AA39"/>
      <c r="AB39"/>
      <c r="AC39"/>
      <c r="AD39"/>
      <c r="AE39"/>
    </row>
    <row r="40" spans="2:32" ht="18" hidden="1" customHeight="1" outlineLevel="1">
      <c r="B40" s="1139" t="s">
        <v>730</v>
      </c>
      <c r="C40" s="158" t="s">
        <v>718</v>
      </c>
      <c r="D40" s="1041">
        <f t="shared" si="23"/>
        <v>356964</v>
      </c>
      <c r="E40" s="1038">
        <v>38700</v>
      </c>
      <c r="F40" s="1038">
        <v>24800</v>
      </c>
      <c r="G40" s="1038">
        <v>33100</v>
      </c>
      <c r="H40" s="1038">
        <v>26300</v>
      </c>
      <c r="I40" s="1038">
        <v>27600</v>
      </c>
      <c r="J40" s="1038">
        <v>34500</v>
      </c>
      <c r="K40" s="1038">
        <v>27600</v>
      </c>
      <c r="L40" s="1038">
        <v>33500</v>
      </c>
      <c r="M40" s="1038">
        <v>27082</v>
      </c>
      <c r="N40" s="1038">
        <v>27100</v>
      </c>
      <c r="O40" s="1038">
        <v>34400</v>
      </c>
      <c r="P40" s="1038">
        <v>22282</v>
      </c>
      <c r="S40"/>
      <c r="T40"/>
      <c r="U40"/>
      <c r="V40"/>
      <c r="W40"/>
      <c r="X40"/>
      <c r="Y40"/>
      <c r="Z40"/>
      <c r="AA40"/>
      <c r="AB40"/>
      <c r="AC40"/>
      <c r="AD40"/>
      <c r="AE40"/>
    </row>
    <row r="41" spans="2:32" ht="18" hidden="1" customHeight="1" outlineLevel="1">
      <c r="B41" s="1139" t="s">
        <v>730</v>
      </c>
      <c r="C41" s="158" t="s">
        <v>719</v>
      </c>
      <c r="D41" s="1041">
        <f t="shared" si="23"/>
        <v>68746.822500000009</v>
      </c>
      <c r="E41" s="1037"/>
      <c r="F41" s="1037">
        <v>7668.11</v>
      </c>
      <c r="G41" s="1037">
        <v>3446.4800000000005</v>
      </c>
      <c r="H41" s="1037">
        <v>8070.03</v>
      </c>
      <c r="I41" s="1037">
        <v>3823.2900000000004</v>
      </c>
      <c r="J41" s="1037">
        <v>9700.57</v>
      </c>
      <c r="K41" s="1038">
        <v>2494.89</v>
      </c>
      <c r="L41" s="1038">
        <v>9922.2200000000012</v>
      </c>
      <c r="M41" s="1038">
        <v>2774.9924999999998</v>
      </c>
      <c r="N41" s="1038">
        <v>9823.8700000000008</v>
      </c>
      <c r="O41" s="1038">
        <v>3699.99</v>
      </c>
      <c r="P41" s="1038">
        <v>7322.380000000001</v>
      </c>
      <c r="S41"/>
      <c r="T41"/>
      <c r="U41"/>
      <c r="V41"/>
      <c r="W41"/>
      <c r="X41"/>
      <c r="Y41"/>
      <c r="Z41"/>
      <c r="AA41"/>
      <c r="AB41"/>
      <c r="AC41"/>
      <c r="AD41"/>
      <c r="AE41"/>
    </row>
    <row r="42" spans="2:32" s="1294" customFormat="1" ht="18" hidden="1" customHeight="1" collapsed="1" thickBot="1">
      <c r="B42" s="1139" t="s">
        <v>730</v>
      </c>
      <c r="C42" s="1346" t="s">
        <v>716</v>
      </c>
      <c r="D42" s="1044">
        <f>IFERROR(SUM(E42:P42),"")</f>
        <v>-525102.86929000006</v>
      </c>
      <c r="E42" s="1044">
        <f>(E27-E31)</f>
        <v>-29155.4</v>
      </c>
      <c r="F42" s="1044">
        <f t="shared" ref="F42:P42" si="24">(F27-F31)</f>
        <v>-34552.083700000003</v>
      </c>
      <c r="G42" s="1044">
        <f t="shared" si="24"/>
        <v>-42571.895410000005</v>
      </c>
      <c r="H42" s="1044">
        <f t="shared" si="24"/>
        <v>-44393.85</v>
      </c>
      <c r="I42" s="1044">
        <f t="shared" si="24"/>
        <v>-38597.32</v>
      </c>
      <c r="J42" s="1044">
        <f t="shared" si="24"/>
        <v>-46273.64</v>
      </c>
      <c r="K42" s="1044">
        <f t="shared" si="24"/>
        <v>-51034.619679999996</v>
      </c>
      <c r="L42" s="1044">
        <f t="shared" si="24"/>
        <v>-86620.63</v>
      </c>
      <c r="M42" s="1044">
        <f t="shared" si="24"/>
        <v>-45377.480499999998</v>
      </c>
      <c r="N42" s="1044">
        <f t="shared" si="24"/>
        <v>-17601.590000000004</v>
      </c>
      <c r="O42" s="1044">
        <f t="shared" si="24"/>
        <v>-62679.070000000007</v>
      </c>
      <c r="P42" s="1044">
        <f t="shared" si="24"/>
        <v>-26245.290000000008</v>
      </c>
      <c r="R42"/>
      <c r="S42"/>
      <c r="T42"/>
      <c r="U42"/>
      <c r="V42"/>
      <c r="W42"/>
      <c r="X42"/>
      <c r="Y42"/>
      <c r="Z42"/>
      <c r="AA42"/>
      <c r="AB42"/>
      <c r="AC42"/>
      <c r="AD42"/>
      <c r="AE42"/>
      <c r="AF42"/>
    </row>
    <row r="43" spans="2:32" ht="15.75" hidden="1" outlineLevel="1" thickTop="1">
      <c r="B43" s="1139" t="s">
        <v>730</v>
      </c>
      <c r="C43" s="1049"/>
      <c r="D43" s="1049">
        <f>IFERROR(D42/D27,"")</f>
        <v>-2.9064640619149298</v>
      </c>
      <c r="E43" s="1049">
        <f t="shared" ref="E43:P43" si="25">IFERROR(E42/E27,"")</f>
        <v>-1.5918864318864319</v>
      </c>
      <c r="F43" s="1049">
        <f t="shared" si="25"/>
        <v>-2.6846995881895883</v>
      </c>
      <c r="G43" s="1049">
        <f t="shared" si="25"/>
        <v>-2.8197976757741352</v>
      </c>
      <c r="H43" s="1049">
        <f t="shared" si="25"/>
        <v>-13.452681818181818</v>
      </c>
      <c r="I43" s="1049">
        <f t="shared" si="25"/>
        <v>-4.1402327701796731</v>
      </c>
      <c r="J43" s="1049">
        <f t="shared" si="25"/>
        <v>-4.094106613581066</v>
      </c>
      <c r="K43" s="1049">
        <f t="shared" si="25"/>
        <v>-4.6101734128274616</v>
      </c>
      <c r="L43" s="1049">
        <f t="shared" si="25"/>
        <v>-14.470536251252923</v>
      </c>
      <c r="M43" s="1049">
        <f t="shared" si="25"/>
        <v>-5.1404679127725856</v>
      </c>
      <c r="N43" s="1049">
        <f t="shared" si="25"/>
        <v>-0.36753248244721121</v>
      </c>
      <c r="O43" s="1049">
        <f t="shared" si="25"/>
        <v>-3.4850747845426748</v>
      </c>
      <c r="P43" s="1049">
        <f t="shared" si="25"/>
        <v>-1.4034914438502679</v>
      </c>
      <c r="S43"/>
      <c r="T43"/>
      <c r="U43"/>
      <c r="V43"/>
      <c r="W43"/>
      <c r="X43"/>
      <c r="Y43"/>
      <c r="Z43"/>
      <c r="AA43"/>
      <c r="AB43"/>
      <c r="AC43"/>
      <c r="AD43"/>
      <c r="AE43"/>
    </row>
    <row r="44" spans="2:32" s="1294" customFormat="1" ht="18" hidden="1" customHeight="1" collapsed="1">
      <c r="B44" s="1139" t="s">
        <v>730</v>
      </c>
      <c r="C44" s="1594" t="s">
        <v>740</v>
      </c>
      <c r="D44" s="1589">
        <f t="shared" si="23"/>
        <v>385027.15618850006</v>
      </c>
      <c r="E44" s="1589">
        <f>SUM(E45:E50)</f>
        <v>41064.254059999992</v>
      </c>
      <c r="F44" s="1589">
        <f>SUM(F45:F50)</f>
        <v>26994.755799999999</v>
      </c>
      <c r="G44" s="1589">
        <f>SUM(G45:G50)</f>
        <v>31985.3133485</v>
      </c>
      <c r="H44" s="1589">
        <f>SUM(H45:H50)</f>
        <v>32738.906800000001</v>
      </c>
      <c r="I44" s="1589">
        <f t="shared" ref="I44:P44" si="26">SUM(I45:I50)</f>
        <v>27293.962</v>
      </c>
      <c r="J44" s="1589">
        <f t="shared" si="26"/>
        <v>37827.314399999996</v>
      </c>
      <c r="K44" s="1589">
        <f t="shared" si="26"/>
        <v>29516.165479999996</v>
      </c>
      <c r="L44" s="1589">
        <f t="shared" si="26"/>
        <v>38746.544600000001</v>
      </c>
      <c r="M44" s="1589">
        <f t="shared" si="26"/>
        <v>26757.999100000001</v>
      </c>
      <c r="N44" s="1589">
        <f t="shared" si="26"/>
        <v>30598.094099999995</v>
      </c>
      <c r="O44" s="1589">
        <f t="shared" si="26"/>
        <v>32006.577599999997</v>
      </c>
      <c r="P44" s="1589">
        <f t="shared" si="26"/>
        <v>29497.268899999999</v>
      </c>
      <c r="R44"/>
      <c r="S44"/>
      <c r="T44"/>
      <c r="U44"/>
      <c r="V44"/>
      <c r="W44"/>
      <c r="X44"/>
      <c r="Y44"/>
      <c r="Z44"/>
      <c r="AA44"/>
      <c r="AB44"/>
      <c r="AC44"/>
      <c r="AD44"/>
      <c r="AE44"/>
      <c r="AF44"/>
    </row>
    <row r="45" spans="2:32" ht="18" hidden="1" customHeight="1" outlineLevel="1">
      <c r="B45" s="1139" t="s">
        <v>730</v>
      </c>
      <c r="C45" s="158" t="s">
        <v>720</v>
      </c>
      <c r="D45" s="1041">
        <f t="shared" si="23"/>
        <v>279971.70215999999</v>
      </c>
      <c r="E45" s="1038">
        <v>37138.798559999988</v>
      </c>
      <c r="F45" s="1038">
        <v>15385.108799999998</v>
      </c>
      <c r="G45" s="1038">
        <v>25641.882000000001</v>
      </c>
      <c r="H45" s="1038">
        <v>20696.656800000001</v>
      </c>
      <c r="I45" s="1038">
        <v>20879.808000000001</v>
      </c>
      <c r="J45" s="1038">
        <v>25825.043399999995</v>
      </c>
      <c r="K45" s="1038">
        <v>20696.656799999997</v>
      </c>
      <c r="L45" s="1038">
        <v>26008.194599999999</v>
      </c>
      <c r="M45" s="1038">
        <v>20513.5056</v>
      </c>
      <c r="N45" s="1038">
        <v>20513.505599999997</v>
      </c>
      <c r="O45" s="1038">
        <v>25641.885600000001</v>
      </c>
      <c r="P45" s="1038">
        <v>21030.6564</v>
      </c>
      <c r="S45"/>
      <c r="T45"/>
      <c r="U45"/>
      <c r="V45"/>
      <c r="W45"/>
      <c r="X45"/>
      <c r="Y45"/>
      <c r="Z45"/>
      <c r="AA45"/>
      <c r="AB45"/>
      <c r="AC45"/>
      <c r="AD45"/>
      <c r="AE45"/>
    </row>
    <row r="46" spans="2:32" ht="18" hidden="1" customHeight="1" outlineLevel="1">
      <c r="B46" s="1139" t="s">
        <v>730</v>
      </c>
      <c r="C46" s="158" t="s">
        <v>719</v>
      </c>
      <c r="D46" s="1041">
        <f t="shared" si="23"/>
        <v>56568.922500000001</v>
      </c>
      <c r="E46" s="1038"/>
      <c r="F46" s="1038">
        <v>7833.1</v>
      </c>
      <c r="G46" s="1038">
        <v>2494.89</v>
      </c>
      <c r="H46" s="1038">
        <v>8114.47</v>
      </c>
      <c r="I46" s="1038">
        <v>2494.89</v>
      </c>
      <c r="J46" s="1038">
        <v>8114.47</v>
      </c>
      <c r="K46" s="1038">
        <v>3823.2900000000004</v>
      </c>
      <c r="L46" s="1038">
        <v>8288.41</v>
      </c>
      <c r="M46" s="1038">
        <v>2414.42</v>
      </c>
      <c r="N46" s="1038">
        <v>6151.1549999999988</v>
      </c>
      <c r="O46" s="1038">
        <v>2416.92</v>
      </c>
      <c r="P46" s="1038">
        <v>4422.9075000000003</v>
      </c>
      <c r="S46"/>
      <c r="T46"/>
      <c r="U46"/>
      <c r="V46"/>
      <c r="W46"/>
      <c r="X46"/>
      <c r="Y46"/>
      <c r="Z46"/>
      <c r="AA46"/>
      <c r="AB46"/>
      <c r="AC46"/>
      <c r="AD46"/>
      <c r="AE46"/>
    </row>
    <row r="47" spans="2:32" ht="18" hidden="1" customHeight="1" outlineLevel="1">
      <c r="B47" s="1139" t="s">
        <v>730</v>
      </c>
      <c r="C47" s="1028" t="s">
        <v>721</v>
      </c>
      <c r="D47" s="1041">
        <f t="shared" si="23"/>
        <v>1944.0896799999998</v>
      </c>
      <c r="E47" s="1038"/>
      <c r="F47" s="1038"/>
      <c r="G47" s="1038"/>
      <c r="H47" s="1038"/>
      <c r="I47" s="1038"/>
      <c r="J47" s="1038"/>
      <c r="K47" s="1038">
        <v>1188.6496799999998</v>
      </c>
      <c r="L47" s="1038">
        <v>604.64</v>
      </c>
      <c r="M47" s="1038"/>
      <c r="N47" s="1038"/>
      <c r="O47" s="1038"/>
      <c r="P47" s="1038">
        <v>150.80000000000001</v>
      </c>
      <c r="S47"/>
      <c r="T47"/>
      <c r="U47"/>
      <c r="V47"/>
      <c r="W47"/>
      <c r="X47"/>
      <c r="Y47"/>
      <c r="Z47"/>
      <c r="AA47"/>
      <c r="AB47"/>
      <c r="AC47"/>
      <c r="AD47"/>
      <c r="AE47"/>
    </row>
    <row r="48" spans="2:32" ht="18" hidden="1" customHeight="1" outlineLevel="1">
      <c r="B48" s="1139" t="s">
        <v>730</v>
      </c>
      <c r="C48" s="158" t="s">
        <v>752</v>
      </c>
      <c r="D48" s="1041">
        <f t="shared" si="23"/>
        <v>40803.49</v>
      </c>
      <c r="E48" s="1068">
        <f>((15693.65*52)/12)*0.05</f>
        <v>3400.2908333333335</v>
      </c>
      <c r="F48" s="1068">
        <f>((15693.65*52)/12)*0.05</f>
        <v>3400.2908333333335</v>
      </c>
      <c r="G48" s="1068">
        <f t="shared" ref="G48:P48" si="27">((15693.65*52)/12)*0.05</f>
        <v>3400.2908333333335</v>
      </c>
      <c r="H48" s="1068">
        <f t="shared" si="27"/>
        <v>3400.2908333333335</v>
      </c>
      <c r="I48" s="1068">
        <f t="shared" si="27"/>
        <v>3400.2908333333335</v>
      </c>
      <c r="J48" s="1068">
        <f t="shared" si="27"/>
        <v>3400.2908333333335</v>
      </c>
      <c r="K48" s="1068">
        <f t="shared" si="27"/>
        <v>3400.2908333333335</v>
      </c>
      <c r="L48" s="1068">
        <f t="shared" si="27"/>
        <v>3400.2908333333335</v>
      </c>
      <c r="M48" s="1068">
        <f t="shared" si="27"/>
        <v>3400.2908333333335</v>
      </c>
      <c r="N48" s="1068">
        <f t="shared" si="27"/>
        <v>3400.2908333333335</v>
      </c>
      <c r="O48" s="1068">
        <f t="shared" si="27"/>
        <v>3400.2908333333335</v>
      </c>
      <c r="P48" s="1068">
        <f t="shared" si="27"/>
        <v>3400.2908333333335</v>
      </c>
      <c r="S48"/>
      <c r="T48"/>
      <c r="U48"/>
      <c r="V48"/>
      <c r="W48"/>
      <c r="X48"/>
      <c r="Y48"/>
      <c r="Z48"/>
      <c r="AA48"/>
      <c r="AB48"/>
      <c r="AC48"/>
      <c r="AD48"/>
      <c r="AE48"/>
    </row>
    <row r="49" spans="2:32" ht="18" hidden="1" customHeight="1" outlineLevel="1">
      <c r="B49" s="1139" t="s">
        <v>730</v>
      </c>
      <c r="C49" s="158" t="s">
        <v>384</v>
      </c>
      <c r="D49" s="1041">
        <f t="shared" si="23"/>
        <v>816.06200000000024</v>
      </c>
      <c r="E49" s="1068">
        <f>((313.87*52)/12)*0.05</f>
        <v>68.005166666666668</v>
      </c>
      <c r="F49" s="1068">
        <f t="shared" ref="F49:P49" si="28">((313.87*52)/12)*0.05</f>
        <v>68.005166666666668</v>
      </c>
      <c r="G49" s="1068">
        <f t="shared" si="28"/>
        <v>68.005166666666668</v>
      </c>
      <c r="H49" s="1068">
        <f t="shared" si="28"/>
        <v>68.005166666666668</v>
      </c>
      <c r="I49" s="1068">
        <f t="shared" si="28"/>
        <v>68.005166666666668</v>
      </c>
      <c r="J49" s="1068">
        <f t="shared" si="28"/>
        <v>68.005166666666668</v>
      </c>
      <c r="K49" s="1068">
        <f t="shared" si="28"/>
        <v>68.005166666666668</v>
      </c>
      <c r="L49" s="1068">
        <f t="shared" si="28"/>
        <v>68.005166666666668</v>
      </c>
      <c r="M49" s="1068">
        <f t="shared" si="28"/>
        <v>68.005166666666668</v>
      </c>
      <c r="N49" s="1068">
        <f t="shared" si="28"/>
        <v>68.005166666666668</v>
      </c>
      <c r="O49" s="1068">
        <f t="shared" si="28"/>
        <v>68.005166666666668</v>
      </c>
      <c r="P49" s="1068">
        <f t="shared" si="28"/>
        <v>68.005166666666668</v>
      </c>
      <c r="S49"/>
      <c r="T49"/>
      <c r="U49"/>
      <c r="V49"/>
      <c r="W49"/>
      <c r="X49"/>
      <c r="Y49"/>
      <c r="Z49"/>
      <c r="AA49"/>
      <c r="AB49"/>
      <c r="AC49"/>
      <c r="AD49"/>
      <c r="AE49"/>
    </row>
    <row r="50" spans="2:32" ht="18" hidden="1" customHeight="1" outlineLevel="1">
      <c r="B50" s="1139" t="s">
        <v>730</v>
      </c>
      <c r="C50" s="158" t="s">
        <v>717</v>
      </c>
      <c r="D50" s="1041">
        <f t="shared" si="23"/>
        <v>4922.8898485</v>
      </c>
      <c r="E50" s="1068">
        <f>9143.19*0.05</f>
        <v>457.15950000000004</v>
      </c>
      <c r="F50" s="1068">
        <f>6165.02*0.05</f>
        <v>308.25100000000003</v>
      </c>
      <c r="G50" s="1068">
        <f>7604.90697*0.05</f>
        <v>380.24534850000003</v>
      </c>
      <c r="H50" s="1068">
        <f>9189.68*0.05</f>
        <v>459.48400000000004</v>
      </c>
      <c r="I50" s="1068">
        <f>9019.36*0.05</f>
        <v>450.96800000000007</v>
      </c>
      <c r="J50" s="1068">
        <f>8390.1*0.05</f>
        <v>419.50500000000005</v>
      </c>
      <c r="K50" s="1068">
        <f>6785.46*0.05</f>
        <v>339.27300000000002</v>
      </c>
      <c r="L50" s="1068">
        <f>7540.08*0.05</f>
        <v>377.00400000000002</v>
      </c>
      <c r="M50" s="1068">
        <f>7235.55*0.05</f>
        <v>361.77750000000003</v>
      </c>
      <c r="N50" s="1068">
        <f>9302.75*0.05</f>
        <v>465.13750000000005</v>
      </c>
      <c r="O50" s="1068">
        <f>9589.52*0.05</f>
        <v>479.47600000000006</v>
      </c>
      <c r="P50" s="1068">
        <f>8492.18*0.05</f>
        <v>424.60900000000004</v>
      </c>
      <c r="S50"/>
      <c r="T50"/>
      <c r="U50"/>
      <c r="V50"/>
      <c r="W50"/>
      <c r="X50"/>
      <c r="Y50"/>
      <c r="Z50"/>
      <c r="AA50"/>
      <c r="AB50"/>
      <c r="AC50"/>
      <c r="AD50"/>
      <c r="AE50"/>
    </row>
    <row r="51" spans="2:32" s="1294" customFormat="1" ht="18" hidden="1" customHeight="1" collapsed="1">
      <c r="B51" s="1139" t="s">
        <v>730</v>
      </c>
      <c r="C51" s="1582" t="s">
        <v>741</v>
      </c>
      <c r="D51" s="1583">
        <f t="shared" si="23"/>
        <v>7746.6</v>
      </c>
      <c r="E51" s="1583">
        <f>IF(SUM(E52:E52)&gt;0,SUM(E52:E52),0)</f>
        <v>0</v>
      </c>
      <c r="F51" s="1583">
        <f t="shared" ref="F51:P51" si="29">IF(SUM(F52:F52)&gt;0,SUM(F52:F52),0)</f>
        <v>0</v>
      </c>
      <c r="G51" s="1583">
        <f t="shared" si="29"/>
        <v>0</v>
      </c>
      <c r="H51" s="1583">
        <f t="shared" si="29"/>
        <v>0</v>
      </c>
      <c r="I51" s="1583">
        <f t="shared" si="29"/>
        <v>0</v>
      </c>
      <c r="J51" s="1583">
        <f t="shared" si="29"/>
        <v>0</v>
      </c>
      <c r="K51" s="1583">
        <f t="shared" si="29"/>
        <v>0</v>
      </c>
      <c r="L51" s="1583">
        <f t="shared" si="29"/>
        <v>0</v>
      </c>
      <c r="M51" s="1583">
        <f t="shared" si="29"/>
        <v>0</v>
      </c>
      <c r="N51" s="1583">
        <f t="shared" si="29"/>
        <v>2185</v>
      </c>
      <c r="O51" s="1583">
        <f t="shared" si="29"/>
        <v>5561.6</v>
      </c>
      <c r="P51" s="1583">
        <f t="shared" si="29"/>
        <v>0</v>
      </c>
      <c r="R51"/>
      <c r="S51"/>
      <c r="T51"/>
      <c r="U51"/>
      <c r="V51"/>
      <c r="W51"/>
      <c r="X51"/>
      <c r="Y51"/>
      <c r="Z51"/>
      <c r="AA51"/>
      <c r="AB51"/>
      <c r="AC51"/>
      <c r="AD51"/>
      <c r="AE51"/>
      <c r="AF51"/>
    </row>
    <row r="52" spans="2:32" ht="18" hidden="1" customHeight="1" outlineLevel="1" thickBot="1">
      <c r="B52" s="1139" t="s">
        <v>730</v>
      </c>
      <c r="C52" s="1028" t="s">
        <v>721</v>
      </c>
      <c r="D52" s="1041">
        <f t="shared" si="23"/>
        <v>7746.6</v>
      </c>
      <c r="E52" s="1038"/>
      <c r="F52" s="1038"/>
      <c r="G52" s="1038"/>
      <c r="H52" s="1038"/>
      <c r="I52" s="1038"/>
      <c r="J52" s="1038"/>
      <c r="K52" s="1038"/>
      <c r="L52" s="1038"/>
      <c r="M52" s="1038"/>
      <c r="N52" s="1038">
        <v>2185</v>
      </c>
      <c r="O52" s="1038">
        <v>5561.6</v>
      </c>
      <c r="P52" s="1038"/>
      <c r="S52"/>
      <c r="T52"/>
      <c r="U52"/>
      <c r="V52"/>
      <c r="W52"/>
      <c r="X52"/>
      <c r="Y52"/>
      <c r="Z52"/>
      <c r="AA52"/>
      <c r="AB52"/>
      <c r="AC52"/>
      <c r="AD52"/>
      <c r="AE52"/>
    </row>
    <row r="53" spans="2:32" s="1294" customFormat="1" ht="18" hidden="1" customHeight="1" collapsed="1" thickTop="1" thickBot="1">
      <c r="B53" s="1139" t="s">
        <v>730</v>
      </c>
      <c r="C53" s="1348" t="s">
        <v>739</v>
      </c>
      <c r="D53" s="1048">
        <f>IFERROR(SUM(E53:P53),"")</f>
        <v>-917876.62547850003</v>
      </c>
      <c r="E53" s="1048">
        <f>(E42-E44-E51)</f>
        <v>-70219.654060000001</v>
      </c>
      <c r="F53" s="1048">
        <f t="shared" ref="F53:P53" si="30">(F42-F44-F51)</f>
        <v>-61546.839500000002</v>
      </c>
      <c r="G53" s="1048">
        <f t="shared" si="30"/>
        <v>-74557.208758499997</v>
      </c>
      <c r="H53" s="1048">
        <f t="shared" si="30"/>
        <v>-77132.756800000003</v>
      </c>
      <c r="I53" s="1048">
        <f t="shared" si="30"/>
        <v>-65891.282000000007</v>
      </c>
      <c r="J53" s="1048">
        <f t="shared" si="30"/>
        <v>-84100.954399999988</v>
      </c>
      <c r="K53" s="1048">
        <f t="shared" si="30"/>
        <v>-80550.785159999999</v>
      </c>
      <c r="L53" s="1048">
        <f t="shared" si="30"/>
        <v>-125367.1746</v>
      </c>
      <c r="M53" s="1048">
        <f t="shared" si="30"/>
        <v>-72135.479599999991</v>
      </c>
      <c r="N53" s="1048">
        <f t="shared" si="30"/>
        <v>-50384.684099999999</v>
      </c>
      <c r="O53" s="1048">
        <f t="shared" si="30"/>
        <v>-100247.2476</v>
      </c>
      <c r="P53" s="1048">
        <f t="shared" si="30"/>
        <v>-55742.558900000004</v>
      </c>
      <c r="R53"/>
      <c r="S53"/>
      <c r="T53"/>
      <c r="U53"/>
      <c r="V53"/>
      <c r="W53"/>
      <c r="X53"/>
      <c r="Y53"/>
      <c r="Z53"/>
      <c r="AA53"/>
      <c r="AB53"/>
      <c r="AC53"/>
      <c r="AD53"/>
      <c r="AE53"/>
      <c r="AF53"/>
    </row>
    <row r="54" spans="2:32" ht="15.75" hidden="1" outlineLevel="1" thickTop="1">
      <c r="B54" s="1139" t="s">
        <v>730</v>
      </c>
      <c r="C54" s="1050"/>
      <c r="D54" s="1056">
        <f>IFERROR(D53/D27,"")</f>
        <v>-5.0804815232340115</v>
      </c>
      <c r="E54" s="1056">
        <f t="shared" ref="E54:P54" si="31">IFERROR(E53/E27,"")</f>
        <v>-3.8339969456729457</v>
      </c>
      <c r="F54" s="1056">
        <f t="shared" si="31"/>
        <v>-4.7821942113442111</v>
      </c>
      <c r="G54" s="1056">
        <f t="shared" si="31"/>
        <v>-4.9383811067064078</v>
      </c>
      <c r="H54" s="1056">
        <f t="shared" si="31"/>
        <v>-23.373562666666668</v>
      </c>
      <c r="I54" s="1056">
        <f t="shared" si="31"/>
        <v>-7.0679841244301427</v>
      </c>
      <c r="J54" s="1056">
        <f t="shared" si="31"/>
        <v>-7.4409161159035602</v>
      </c>
      <c r="K54" s="1056">
        <f t="shared" si="31"/>
        <v>-7.2764936910569107</v>
      </c>
      <c r="L54" s="1056">
        <f t="shared" si="31"/>
        <v>-20.943397026394923</v>
      </c>
      <c r="M54" s="1056">
        <f t="shared" si="31"/>
        <v>-8.1716770999716779</v>
      </c>
      <c r="N54" s="1056">
        <f t="shared" si="31"/>
        <v>-1.0520645023882234</v>
      </c>
      <c r="O54" s="1056">
        <f t="shared" si="31"/>
        <v>-5.5739364804003335</v>
      </c>
      <c r="P54" s="1056">
        <f t="shared" si="31"/>
        <v>-2.980885502673797</v>
      </c>
      <c r="S54"/>
      <c r="T54"/>
      <c r="U54"/>
      <c r="V54"/>
      <c r="W54"/>
      <c r="X54"/>
      <c r="Y54"/>
      <c r="Z54"/>
      <c r="AA54"/>
      <c r="AB54"/>
      <c r="AC54"/>
      <c r="AD54"/>
      <c r="AE54"/>
    </row>
    <row r="55" spans="2:32" s="1294" customFormat="1" hidden="1" collapsed="1">
      <c r="B55" s="1139" t="s">
        <v>730</v>
      </c>
      <c r="C55" s="1349" t="s">
        <v>728</v>
      </c>
      <c r="D55" s="1066">
        <f t="shared" si="23"/>
        <v>11500</v>
      </c>
      <c r="E55" s="1067"/>
      <c r="F55" s="1067"/>
      <c r="G55" s="1067"/>
      <c r="H55" s="1067"/>
      <c r="I55" s="1067"/>
      <c r="J55" s="1067"/>
      <c r="K55" s="1067"/>
      <c r="L55" s="1067"/>
      <c r="M55" s="1067">
        <v>11500</v>
      </c>
      <c r="N55" s="1067"/>
      <c r="O55" s="1067"/>
      <c r="P55" s="1067"/>
      <c r="R55"/>
      <c r="S55"/>
      <c r="T55"/>
      <c r="U55"/>
      <c r="V55"/>
      <c r="W55"/>
      <c r="X55"/>
      <c r="Y55"/>
      <c r="Z55"/>
      <c r="AA55"/>
      <c r="AB55"/>
      <c r="AC55"/>
      <c r="AD55"/>
      <c r="AE55"/>
      <c r="AF55"/>
    </row>
    <row r="56" spans="2:32" s="1294" customFormat="1" ht="18" hidden="1" customHeight="1">
      <c r="B56" s="1139" t="s">
        <v>730</v>
      </c>
      <c r="C56" s="1350" t="s">
        <v>742</v>
      </c>
      <c r="D56" s="1053">
        <f>IFERROR(SUM(E56:P56),"")</f>
        <v>1098543.8754785</v>
      </c>
      <c r="E56" s="1057">
        <f>SUM(E57:E59)</f>
        <v>88534.654060000001</v>
      </c>
      <c r="F56" s="1057">
        <f t="shared" ref="F56:P56" si="32">SUM(F57:F59)</f>
        <v>74416.839500000002</v>
      </c>
      <c r="G56" s="1057">
        <f t="shared" si="32"/>
        <v>89654.708758499997</v>
      </c>
      <c r="H56" s="1057">
        <f t="shared" si="32"/>
        <v>80432.756800000003</v>
      </c>
      <c r="I56" s="1057">
        <f t="shared" si="32"/>
        <v>75213.782000000007</v>
      </c>
      <c r="J56" s="1057">
        <f t="shared" si="32"/>
        <v>95403.454399999988</v>
      </c>
      <c r="K56" s="1057">
        <f t="shared" si="32"/>
        <v>91620.785159999999</v>
      </c>
      <c r="L56" s="1057">
        <f t="shared" si="32"/>
        <v>131353.1746</v>
      </c>
      <c r="M56" s="1057">
        <f t="shared" si="32"/>
        <v>80962.979599999991</v>
      </c>
      <c r="N56" s="1057">
        <f t="shared" si="32"/>
        <v>98275.934099999999</v>
      </c>
      <c r="O56" s="1057">
        <f t="shared" si="32"/>
        <v>118232.2476</v>
      </c>
      <c r="P56" s="1057">
        <f t="shared" si="32"/>
        <v>74442.558900000004</v>
      </c>
      <c r="R56"/>
      <c r="S56"/>
      <c r="T56"/>
      <c r="U56"/>
      <c r="V56"/>
      <c r="W56"/>
      <c r="X56"/>
      <c r="Y56"/>
      <c r="Z56"/>
      <c r="AA56"/>
      <c r="AB56"/>
      <c r="AC56"/>
      <c r="AD56"/>
      <c r="AE56"/>
      <c r="AF56"/>
    </row>
    <row r="57" spans="2:32" ht="18" hidden="1" customHeight="1" outlineLevel="1">
      <c r="B57" s="1139" t="s">
        <v>730</v>
      </c>
      <c r="C57" s="1058" t="s">
        <v>738</v>
      </c>
      <c r="D57" s="1059">
        <f>IF(SUM(E57:P57)&gt;0,SUM(E57:P57),"")</f>
        <v>705770.11929000006</v>
      </c>
      <c r="E57" s="1060">
        <f>(E31)</f>
        <v>47470.400000000001</v>
      </c>
      <c r="F57" s="1060">
        <f t="shared" ref="F57:P57" si="33">(F31)</f>
        <v>47422.083700000003</v>
      </c>
      <c r="G57" s="1060">
        <f t="shared" si="33"/>
        <v>57669.395410000005</v>
      </c>
      <c r="H57" s="1060">
        <f t="shared" si="33"/>
        <v>47693.85</v>
      </c>
      <c r="I57" s="1060">
        <f t="shared" si="33"/>
        <v>47919.82</v>
      </c>
      <c r="J57" s="1060">
        <f t="shared" si="33"/>
        <v>57576.14</v>
      </c>
      <c r="K57" s="1060">
        <f t="shared" si="33"/>
        <v>62104.619679999996</v>
      </c>
      <c r="L57" s="1060">
        <f t="shared" si="33"/>
        <v>92606.63</v>
      </c>
      <c r="M57" s="1060">
        <f t="shared" si="33"/>
        <v>54204.980499999998</v>
      </c>
      <c r="N57" s="1060">
        <f t="shared" si="33"/>
        <v>65492.840000000004</v>
      </c>
      <c r="O57" s="1060">
        <f t="shared" si="33"/>
        <v>80664.070000000007</v>
      </c>
      <c r="P57" s="1060">
        <f t="shared" si="33"/>
        <v>44945.290000000008</v>
      </c>
      <c r="S57"/>
      <c r="T57"/>
      <c r="U57"/>
      <c r="V57"/>
      <c r="W57"/>
      <c r="X57"/>
      <c r="Y57"/>
      <c r="Z57"/>
      <c r="AA57"/>
      <c r="AB57"/>
      <c r="AC57"/>
      <c r="AD57"/>
      <c r="AE57"/>
    </row>
    <row r="58" spans="2:32" ht="18" hidden="1" customHeight="1" outlineLevel="1">
      <c r="B58" s="1139" t="s">
        <v>730</v>
      </c>
      <c r="C58" s="1058" t="s">
        <v>740</v>
      </c>
      <c r="D58" s="1059">
        <f t="shared" si="23"/>
        <v>385027.15618850006</v>
      </c>
      <c r="E58" s="1060">
        <f>(E44)</f>
        <v>41064.254059999992</v>
      </c>
      <c r="F58" s="1060">
        <f t="shared" ref="F58:P58" si="34">(F44)</f>
        <v>26994.755799999999</v>
      </c>
      <c r="G58" s="1060">
        <f t="shared" si="34"/>
        <v>31985.3133485</v>
      </c>
      <c r="H58" s="1060">
        <f t="shared" si="34"/>
        <v>32738.906800000001</v>
      </c>
      <c r="I58" s="1060">
        <f t="shared" si="34"/>
        <v>27293.962</v>
      </c>
      <c r="J58" s="1060">
        <f t="shared" si="34"/>
        <v>37827.314399999996</v>
      </c>
      <c r="K58" s="1060">
        <f t="shared" si="34"/>
        <v>29516.165479999996</v>
      </c>
      <c r="L58" s="1060">
        <f t="shared" si="34"/>
        <v>38746.544600000001</v>
      </c>
      <c r="M58" s="1060">
        <f t="shared" si="34"/>
        <v>26757.999100000001</v>
      </c>
      <c r="N58" s="1060">
        <f t="shared" si="34"/>
        <v>30598.094099999995</v>
      </c>
      <c r="O58" s="1060">
        <f t="shared" si="34"/>
        <v>32006.577599999997</v>
      </c>
      <c r="P58" s="1060">
        <f t="shared" si="34"/>
        <v>29497.268899999999</v>
      </c>
      <c r="S58"/>
      <c r="T58"/>
      <c r="U58"/>
      <c r="V58"/>
      <c r="W58"/>
      <c r="X58"/>
      <c r="Y58"/>
      <c r="Z58"/>
      <c r="AA58"/>
      <c r="AB58"/>
      <c r="AC58"/>
      <c r="AD58"/>
      <c r="AE58"/>
    </row>
    <row r="59" spans="2:32" ht="18" hidden="1" customHeight="1" outlineLevel="1">
      <c r="B59" s="1139" t="s">
        <v>730</v>
      </c>
      <c r="C59" s="1058" t="s">
        <v>741</v>
      </c>
      <c r="D59" s="1059">
        <f t="shared" si="23"/>
        <v>7746.6</v>
      </c>
      <c r="E59" s="1060">
        <f>(E51)</f>
        <v>0</v>
      </c>
      <c r="F59" s="1060">
        <f t="shared" ref="F59:P59" si="35">(F51)</f>
        <v>0</v>
      </c>
      <c r="G59" s="1060">
        <f t="shared" si="35"/>
        <v>0</v>
      </c>
      <c r="H59" s="1060">
        <f t="shared" si="35"/>
        <v>0</v>
      </c>
      <c r="I59" s="1060">
        <f t="shared" si="35"/>
        <v>0</v>
      </c>
      <c r="J59" s="1060">
        <f t="shared" si="35"/>
        <v>0</v>
      </c>
      <c r="K59" s="1060">
        <f t="shared" si="35"/>
        <v>0</v>
      </c>
      <c r="L59" s="1060">
        <f t="shared" si="35"/>
        <v>0</v>
      </c>
      <c r="M59" s="1060">
        <f t="shared" si="35"/>
        <v>0</v>
      </c>
      <c r="N59" s="1060">
        <f t="shared" si="35"/>
        <v>2185</v>
      </c>
      <c r="O59" s="1060">
        <f t="shared" si="35"/>
        <v>5561.6</v>
      </c>
      <c r="P59" s="1060">
        <f t="shared" si="35"/>
        <v>0</v>
      </c>
      <c r="S59"/>
      <c r="T59"/>
      <c r="U59"/>
      <c r="V59"/>
      <c r="W59"/>
      <c r="X59"/>
      <c r="Y59"/>
      <c r="Z59"/>
      <c r="AA59"/>
      <c r="AB59"/>
      <c r="AC59"/>
      <c r="AD59"/>
      <c r="AE59"/>
    </row>
    <row r="60" spans="2:32" s="1294" customFormat="1" ht="18" hidden="1" customHeight="1" collapsed="1" thickBot="1">
      <c r="B60" s="1139" t="s">
        <v>730</v>
      </c>
      <c r="C60" s="1351" t="s">
        <v>753</v>
      </c>
      <c r="D60" s="1054">
        <f t="shared" ref="D60:P60" si="36">IFERROR(((D56/2)/D18),"")</f>
        <v>155.0359151691045</v>
      </c>
      <c r="E60" s="1055">
        <f t="shared" si="36"/>
        <v>303.99208233759123</v>
      </c>
      <c r="F60" s="1055">
        <f t="shared" si="36"/>
        <v>113.85685358017136</v>
      </c>
      <c r="G60" s="1055">
        <f t="shared" si="36"/>
        <v>456.95570213302756</v>
      </c>
      <c r="H60" s="1055">
        <f t="shared" si="36"/>
        <v>132.02319773091372</v>
      </c>
      <c r="I60" s="1055">
        <f t="shared" si="36"/>
        <v>168.82018557839501</v>
      </c>
      <c r="J60" s="1055">
        <f t="shared" si="36"/>
        <v>117.32144715807075</v>
      </c>
      <c r="K60" s="1055">
        <f t="shared" si="36"/>
        <v>65.312792386655261</v>
      </c>
      <c r="L60" s="1055">
        <f t="shared" si="36"/>
        <v>109.55409981817878</v>
      </c>
      <c r="M60" s="1055" t="str">
        <f t="shared" si="36"/>
        <v/>
      </c>
      <c r="N60" s="1055" t="str">
        <f t="shared" si="36"/>
        <v/>
      </c>
      <c r="O60" s="1055">
        <f t="shared" si="36"/>
        <v>80.158542895496893</v>
      </c>
      <c r="P60" s="1055" t="str">
        <f t="shared" si="36"/>
        <v/>
      </c>
      <c r="Q60" s="1051">
        <f>SUMPRODUCT(E60:P60,E18:P18)/SUM(E18:P18)</f>
        <v>119.23421425947447</v>
      </c>
      <c r="R60"/>
      <c r="S60"/>
      <c r="T60"/>
      <c r="U60"/>
      <c r="V60"/>
      <c r="W60"/>
      <c r="X60"/>
      <c r="Y60"/>
      <c r="Z60"/>
      <c r="AA60"/>
      <c r="AB60"/>
      <c r="AC60"/>
      <c r="AD60"/>
      <c r="AE60"/>
      <c r="AF60"/>
    </row>
    <row r="61" spans="2:32" s="1294" customFormat="1" ht="18" hidden="1" customHeight="1" thickTop="1" thickBot="1">
      <c r="B61" s="1139" t="s">
        <v>730</v>
      </c>
      <c r="C61" s="1355" t="s">
        <v>754</v>
      </c>
      <c r="D61" s="1054">
        <f>IFERROR(((D57/2)/D18),"")</f>
        <v>99.604320578886785</v>
      </c>
      <c r="E61" s="1055">
        <f>IFERROR(((E57/2)/E18),"")</f>
        <v>162.99409421782735</v>
      </c>
      <c r="F61" s="1055">
        <f>IFERROR(((F57/2)/F18),"")</f>
        <v>72.555207619339043</v>
      </c>
      <c r="G61" s="1055">
        <f>IFERROR(((G57/2)/G18),"")</f>
        <v>293.93167895005104</v>
      </c>
      <c r="H61" s="1055">
        <f>IFERROR(((H57/2)/H18),"")</f>
        <v>78.28520169656224</v>
      </c>
      <c r="I61" s="1055">
        <f t="shared" ref="I61:P61" si="37">IFERROR(((I57/2)/I18),"")</f>
        <v>107.55785296481014</v>
      </c>
      <c r="J61" s="1055">
        <f t="shared" si="37"/>
        <v>70.80368430113873</v>
      </c>
      <c r="K61" s="1055">
        <f t="shared" si="37"/>
        <v>44.271898830909606</v>
      </c>
      <c r="L61" s="1055">
        <f t="shared" si="37"/>
        <v>77.23784383392551</v>
      </c>
      <c r="M61" s="1055" t="str">
        <f t="shared" si="37"/>
        <v/>
      </c>
      <c r="N61" s="1055" t="str">
        <f t="shared" si="37"/>
        <v/>
      </c>
      <c r="O61" s="1055">
        <f t="shared" si="37"/>
        <v>54.688246620293164</v>
      </c>
      <c r="P61" s="1055" t="str">
        <f t="shared" si="37"/>
        <v/>
      </c>
      <c r="Q61" s="1051">
        <f>SUMPRODUCT(E61:P61,E18:P18)/SUM(E18:P18)</f>
        <v>76.368475491190921</v>
      </c>
      <c r="R61"/>
      <c r="S61"/>
      <c r="T61"/>
      <c r="U61"/>
      <c r="V61"/>
      <c r="W61"/>
      <c r="X61"/>
      <c r="Y61"/>
      <c r="Z61"/>
      <c r="AA61"/>
      <c r="AB61"/>
      <c r="AC61"/>
      <c r="AD61"/>
      <c r="AE61"/>
      <c r="AF61"/>
    </row>
    <row r="62" spans="2:32" ht="18" hidden="1" customHeight="1" thickTop="1">
      <c r="S62"/>
      <c r="T62"/>
      <c r="U62"/>
      <c r="V62"/>
      <c r="W62"/>
      <c r="X62"/>
      <c r="Y62"/>
      <c r="Z62"/>
      <c r="AA62"/>
      <c r="AB62"/>
      <c r="AC62"/>
      <c r="AD62"/>
      <c r="AE62"/>
    </row>
    <row r="63" spans="2:32" s="1294" customFormat="1" ht="18" hidden="1" customHeight="1">
      <c r="B63" s="1353" t="s">
        <v>766</v>
      </c>
      <c r="C63" s="1586" t="s">
        <v>731</v>
      </c>
      <c r="D63" s="1595">
        <f>IFERROR(SUM(D64:D64),"")</f>
        <v>64.619</v>
      </c>
      <c r="E63" s="1595">
        <f t="shared" ref="E63:P63" si="38">SUM(E64:E64)</f>
        <v>6.2270000000000003</v>
      </c>
      <c r="F63" s="1595">
        <f t="shared" si="38"/>
        <v>6.4329999999999998</v>
      </c>
      <c r="G63" s="1595">
        <f t="shared" si="38"/>
        <v>8.2370000000000001</v>
      </c>
      <c r="H63" s="1595">
        <f t="shared" si="38"/>
        <v>6.0820000000000007</v>
      </c>
      <c r="I63" s="1595">
        <f t="shared" si="38"/>
        <v>5.2940000000000005</v>
      </c>
      <c r="J63" s="1595">
        <f t="shared" si="38"/>
        <v>5.7379999999999995</v>
      </c>
      <c r="K63" s="1595">
        <f t="shared" si="38"/>
        <v>4.3499999999999996</v>
      </c>
      <c r="L63" s="1595">
        <f t="shared" si="38"/>
        <v>4.9820000000000002</v>
      </c>
      <c r="M63" s="1595">
        <f t="shared" si="38"/>
        <v>2.7370000000000001</v>
      </c>
      <c r="N63" s="1595">
        <f t="shared" si="38"/>
        <v>3.9239999999999999</v>
      </c>
      <c r="O63" s="1595">
        <f t="shared" si="38"/>
        <v>4.694</v>
      </c>
      <c r="P63" s="1595">
        <f t="shared" si="38"/>
        <v>5.9209999999999994</v>
      </c>
      <c r="R63"/>
      <c r="S63"/>
      <c r="T63"/>
      <c r="U63"/>
      <c r="V63"/>
      <c r="W63"/>
      <c r="X63"/>
      <c r="Y63"/>
      <c r="Z63"/>
      <c r="AA63"/>
      <c r="AB63"/>
      <c r="AC63"/>
      <c r="AD63"/>
      <c r="AE63"/>
      <c r="AF63"/>
    </row>
    <row r="64" spans="2:32" s="790" customFormat="1" ht="18" hidden="1" customHeight="1" outlineLevel="1">
      <c r="B64" s="1140" t="s">
        <v>766</v>
      </c>
      <c r="C64" s="1063" t="s">
        <v>755</v>
      </c>
      <c r="D64" s="1069">
        <f>IFERROR(SUM(E64:P64),"")</f>
        <v>64.619</v>
      </c>
      <c r="E64" s="1069">
        <v>6.2270000000000003</v>
      </c>
      <c r="F64" s="1069">
        <v>6.4329999999999998</v>
      </c>
      <c r="G64" s="1069">
        <v>8.2370000000000001</v>
      </c>
      <c r="H64" s="1069">
        <v>6.0820000000000007</v>
      </c>
      <c r="I64" s="1069">
        <v>5.2940000000000005</v>
      </c>
      <c r="J64" s="1069">
        <v>5.7379999999999995</v>
      </c>
      <c r="K64" s="1069">
        <v>4.3499999999999996</v>
      </c>
      <c r="L64" s="1069">
        <v>4.9820000000000002</v>
      </c>
      <c r="M64" s="1069">
        <v>2.7370000000000001</v>
      </c>
      <c r="N64" s="1069">
        <v>3.9239999999999999</v>
      </c>
      <c r="O64" s="1069">
        <v>4.694</v>
      </c>
      <c r="P64" s="1069">
        <v>5.9209999999999994</v>
      </c>
      <c r="R64"/>
      <c r="S64"/>
      <c r="T64"/>
      <c r="U64"/>
      <c r="V64"/>
      <c r="W64"/>
      <c r="X64"/>
      <c r="Y64"/>
      <c r="Z64"/>
      <c r="AA64"/>
      <c r="AB64"/>
      <c r="AC64"/>
      <c r="AD64"/>
      <c r="AE64"/>
      <c r="AF64"/>
    </row>
    <row r="65" spans="2:32" s="1294" customFormat="1" ht="18" hidden="1" customHeight="1" collapsed="1">
      <c r="B65" s="1353" t="s">
        <v>766</v>
      </c>
      <c r="C65" s="1582" t="s">
        <v>732</v>
      </c>
      <c r="D65" s="1596">
        <f>IFERROR(SUM(D66:D67),"")</f>
        <v>58.991</v>
      </c>
      <c r="E65" s="1596">
        <f>SUM(E66:E67)</f>
        <v>4.74</v>
      </c>
      <c r="F65" s="1596">
        <f t="shared" ref="F65:P65" si="39">SUM(F66:F67)</f>
        <v>6.24</v>
      </c>
      <c r="G65" s="1596">
        <f t="shared" si="39"/>
        <v>6.7750000000000004</v>
      </c>
      <c r="H65" s="1596">
        <f t="shared" si="39"/>
        <v>4.375</v>
      </c>
      <c r="I65" s="1596">
        <f t="shared" si="39"/>
        <v>6.87</v>
      </c>
      <c r="J65" s="1596">
        <f t="shared" si="39"/>
        <v>6.6310000000000002</v>
      </c>
      <c r="K65" s="1596">
        <f t="shared" si="39"/>
        <v>3.8499999999999996</v>
      </c>
      <c r="L65" s="1596">
        <f t="shared" si="39"/>
        <v>4.68</v>
      </c>
      <c r="M65" s="1596">
        <f t="shared" si="39"/>
        <v>2.5499999999999998</v>
      </c>
      <c r="N65" s="1596">
        <f t="shared" si="39"/>
        <v>4.2300000000000004</v>
      </c>
      <c r="O65" s="1596">
        <f t="shared" si="39"/>
        <v>3.15</v>
      </c>
      <c r="P65" s="1596">
        <f t="shared" si="39"/>
        <v>4.9000000000000004</v>
      </c>
      <c r="R65"/>
      <c r="S65"/>
      <c r="T65"/>
      <c r="U65"/>
      <c r="V65"/>
      <c r="W65"/>
      <c r="X65"/>
      <c r="Y65"/>
      <c r="Z65"/>
      <c r="AA65"/>
      <c r="AB65"/>
      <c r="AC65"/>
      <c r="AD65"/>
      <c r="AE65"/>
      <c r="AF65"/>
    </row>
    <row r="66" spans="2:32" ht="18" hidden="1" customHeight="1" outlineLevel="1">
      <c r="B66" s="1140" t="s">
        <v>766</v>
      </c>
      <c r="C66" s="158" t="s">
        <v>749</v>
      </c>
      <c r="D66" s="1070">
        <f>IFERROR(SUM(E66:P66),"")</f>
        <v>13.381</v>
      </c>
      <c r="E66" s="1070">
        <v>1.2</v>
      </c>
      <c r="F66" s="1070">
        <v>3.665</v>
      </c>
      <c r="G66" s="1070">
        <v>1</v>
      </c>
      <c r="H66" s="1070">
        <v>0.75</v>
      </c>
      <c r="I66" s="1070">
        <v>1</v>
      </c>
      <c r="J66" s="1070">
        <v>1.3759999999999999</v>
      </c>
      <c r="K66" s="1070">
        <v>1.26</v>
      </c>
      <c r="L66" s="1070">
        <v>1.6300000000000001</v>
      </c>
      <c r="M66" s="1070"/>
      <c r="N66" s="1070"/>
      <c r="O66" s="1070">
        <v>1</v>
      </c>
      <c r="P66" s="1070">
        <v>0.5</v>
      </c>
      <c r="S66"/>
      <c r="T66"/>
      <c r="U66"/>
      <c r="V66"/>
      <c r="W66"/>
      <c r="X66"/>
      <c r="Y66"/>
      <c r="Z66"/>
      <c r="AA66"/>
      <c r="AB66"/>
      <c r="AC66"/>
      <c r="AD66"/>
      <c r="AE66"/>
    </row>
    <row r="67" spans="2:32" ht="18" hidden="1" customHeight="1" outlineLevel="1">
      <c r="B67" s="1140" t="s">
        <v>766</v>
      </c>
      <c r="C67" s="158" t="s">
        <v>751</v>
      </c>
      <c r="D67" s="1070">
        <f>IFERROR(SUM(E67:P67),"")</f>
        <v>45.61</v>
      </c>
      <c r="E67" s="1070">
        <v>3.54</v>
      </c>
      <c r="F67" s="1070">
        <v>2.5750000000000002</v>
      </c>
      <c r="G67" s="1070">
        <f>4.175+1.6</f>
        <v>5.7750000000000004</v>
      </c>
      <c r="H67" s="1070">
        <v>3.625</v>
      </c>
      <c r="I67" s="1070">
        <v>5.87</v>
      </c>
      <c r="J67" s="1070">
        <v>5.2550000000000008</v>
      </c>
      <c r="K67" s="1070">
        <f>2.59</f>
        <v>2.59</v>
      </c>
      <c r="L67" s="1070">
        <v>3.05</v>
      </c>
      <c r="M67" s="1070">
        <f>2.75-0.2</f>
        <v>2.5499999999999998</v>
      </c>
      <c r="N67" s="1070">
        <v>4.2300000000000004</v>
      </c>
      <c r="O67" s="1070">
        <f>1.85+0.3</f>
        <v>2.15</v>
      </c>
      <c r="P67" s="1070">
        <f>4.7-0.3</f>
        <v>4.4000000000000004</v>
      </c>
      <c r="S67"/>
      <c r="T67"/>
      <c r="U67"/>
      <c r="V67"/>
      <c r="W67"/>
      <c r="X67"/>
      <c r="Y67"/>
      <c r="Z67"/>
      <c r="AA67"/>
      <c r="AB67"/>
      <c r="AC67"/>
      <c r="AD67"/>
      <c r="AE67"/>
    </row>
    <row r="68" spans="2:32" ht="18" hidden="1" customHeight="1" outlineLevel="1">
      <c r="B68" s="1140" t="s">
        <v>766</v>
      </c>
      <c r="C68" s="158" t="s">
        <v>734</v>
      </c>
      <c r="D68" s="1070">
        <f>IFERROR(SUM(E68:P68),"")</f>
        <v>2.7100000000000004</v>
      </c>
      <c r="E68" s="1070">
        <v>0.22</v>
      </c>
      <c r="F68" s="1070">
        <v>0.22</v>
      </c>
      <c r="G68" s="1070">
        <v>0.33</v>
      </c>
      <c r="H68" s="1070">
        <v>0.22</v>
      </c>
      <c r="I68" s="1070">
        <v>0.22</v>
      </c>
      <c r="J68" s="1070">
        <v>0.22</v>
      </c>
      <c r="K68" s="1070">
        <v>0.22</v>
      </c>
      <c r="L68" s="1070">
        <v>0.21000000000000002</v>
      </c>
      <c r="M68" s="1070">
        <v>0.19</v>
      </c>
      <c r="N68" s="1070">
        <v>0.22</v>
      </c>
      <c r="O68" s="1070">
        <v>0.22</v>
      </c>
      <c r="P68" s="1070">
        <v>0.22</v>
      </c>
      <c r="S68"/>
      <c r="T68"/>
      <c r="U68"/>
      <c r="V68"/>
      <c r="W68"/>
      <c r="X68"/>
      <c r="Y68"/>
      <c r="Z68"/>
      <c r="AA68"/>
      <c r="AB68"/>
      <c r="AC68"/>
      <c r="AD68"/>
      <c r="AE68"/>
    </row>
    <row r="69" spans="2:32" ht="18" hidden="1" customHeight="1" outlineLevel="1">
      <c r="B69" s="1140" t="s">
        <v>766</v>
      </c>
      <c r="C69" s="158" t="s">
        <v>735</v>
      </c>
      <c r="D69" s="479">
        <f>IFERROR(AVERAGE(E69:P69),"")</f>
        <v>39166.666666666664</v>
      </c>
      <c r="E69" s="479">
        <v>25000</v>
      </c>
      <c r="F69" s="479">
        <v>25000</v>
      </c>
      <c r="G69" s="479">
        <v>42000</v>
      </c>
      <c r="H69" s="479">
        <v>42000</v>
      </c>
      <c r="I69" s="479">
        <v>42000</v>
      </c>
      <c r="J69" s="479">
        <v>42000</v>
      </c>
      <c r="K69" s="479">
        <v>42000</v>
      </c>
      <c r="L69" s="479">
        <v>42000</v>
      </c>
      <c r="M69" s="479">
        <v>42000</v>
      </c>
      <c r="N69" s="479">
        <v>42000</v>
      </c>
      <c r="O69" s="479">
        <v>42000</v>
      </c>
      <c r="P69" s="479">
        <v>42000</v>
      </c>
      <c r="S69"/>
      <c r="T69"/>
      <c r="U69"/>
      <c r="V69"/>
      <c r="W69"/>
      <c r="X69"/>
      <c r="Y69"/>
      <c r="Z69"/>
      <c r="AA69"/>
      <c r="AB69"/>
      <c r="AC69"/>
      <c r="AD69"/>
      <c r="AE69"/>
    </row>
    <row r="70" spans="2:32" ht="18" hidden="1" customHeight="1" outlineLevel="1">
      <c r="B70" s="1140" t="s">
        <v>766</v>
      </c>
      <c r="C70" s="158" t="s">
        <v>747</v>
      </c>
      <c r="D70" s="479">
        <f>IFERROR(AVERAGE(E70:P70),"")</f>
        <v>23950</v>
      </c>
      <c r="E70" s="479">
        <v>12400</v>
      </c>
      <c r="F70" s="479">
        <v>25000</v>
      </c>
      <c r="G70" s="479">
        <v>25000</v>
      </c>
      <c r="H70" s="479">
        <v>25000</v>
      </c>
      <c r="I70" s="479">
        <v>25000</v>
      </c>
      <c r="J70" s="479">
        <v>25000</v>
      </c>
      <c r="K70" s="479">
        <v>25000</v>
      </c>
      <c r="L70" s="479">
        <v>25000</v>
      </c>
      <c r="M70" s="479">
        <v>25000</v>
      </c>
      <c r="N70" s="479">
        <v>25000</v>
      </c>
      <c r="O70" s="479">
        <v>25000</v>
      </c>
      <c r="P70" s="479">
        <v>25000</v>
      </c>
      <c r="S70"/>
      <c r="T70"/>
      <c r="U70"/>
      <c r="V70"/>
      <c r="W70"/>
      <c r="X70"/>
      <c r="Y70"/>
      <c r="Z70"/>
      <c r="AA70"/>
      <c r="AB70"/>
      <c r="AC70"/>
      <c r="AD70"/>
      <c r="AE70"/>
    </row>
    <row r="71" spans="2:32" s="1294" customFormat="1" ht="18" hidden="1" customHeight="1" collapsed="1">
      <c r="B71" s="1353" t="s">
        <v>766</v>
      </c>
      <c r="C71" s="1582" t="s">
        <v>736</v>
      </c>
      <c r="D71" s="1583">
        <f>IFERROR(SUM(E71:P71),"")</f>
        <v>1574943</v>
      </c>
      <c r="E71" s="1583">
        <f>SUM(E72:E73)</f>
        <v>73896</v>
      </c>
      <c r="F71" s="1583">
        <f t="shared" ref="F71:P71" si="40">SUM(F72:F73)</f>
        <v>156000</v>
      </c>
      <c r="G71" s="1583">
        <f t="shared" si="40"/>
        <v>186375</v>
      </c>
      <c r="H71" s="1583">
        <f t="shared" si="40"/>
        <v>122125</v>
      </c>
      <c r="I71" s="1583">
        <f t="shared" si="40"/>
        <v>188750</v>
      </c>
      <c r="J71" s="1583">
        <f t="shared" si="40"/>
        <v>189167.00000000003</v>
      </c>
      <c r="K71" s="1583">
        <f t="shared" si="40"/>
        <v>117670</v>
      </c>
      <c r="L71" s="1583">
        <f t="shared" si="40"/>
        <v>144710</v>
      </c>
      <c r="M71" s="1583">
        <f t="shared" si="40"/>
        <v>63749.999999999993</v>
      </c>
      <c r="N71" s="1583">
        <f t="shared" si="40"/>
        <v>105750.00000000001</v>
      </c>
      <c r="O71" s="1583">
        <f t="shared" si="40"/>
        <v>95750</v>
      </c>
      <c r="P71" s="1583">
        <f t="shared" si="40"/>
        <v>131000.00000000001</v>
      </c>
      <c r="R71"/>
      <c r="S71"/>
      <c r="T71"/>
      <c r="U71"/>
      <c r="V71"/>
      <c r="W71"/>
      <c r="X71"/>
      <c r="Y71"/>
      <c r="Z71"/>
      <c r="AA71"/>
      <c r="AB71"/>
      <c r="AC71"/>
      <c r="AD71"/>
      <c r="AE71"/>
      <c r="AF71"/>
    </row>
    <row r="72" spans="2:32" ht="18" hidden="1" customHeight="1" outlineLevel="1">
      <c r="B72" s="1140" t="s">
        <v>766</v>
      </c>
      <c r="C72" s="158" t="s">
        <v>733</v>
      </c>
      <c r="D72" s="1037">
        <f>IF(SUM(E72:P72)&gt;0,SUM(E72:P72),"")</f>
        <v>479297</v>
      </c>
      <c r="E72" s="1037">
        <f>IF((E69*E66)&gt;0,(E69*E66),"")</f>
        <v>30000</v>
      </c>
      <c r="F72" s="1037">
        <f t="shared" ref="F72:P72" si="41">IF((F69*F66)&gt;0,(F69*F66),"")</f>
        <v>91625</v>
      </c>
      <c r="G72" s="1037">
        <f t="shared" si="41"/>
        <v>42000</v>
      </c>
      <c r="H72" s="1037">
        <f t="shared" si="41"/>
        <v>31500</v>
      </c>
      <c r="I72" s="1037">
        <f t="shared" si="41"/>
        <v>42000</v>
      </c>
      <c r="J72" s="1037">
        <f t="shared" si="41"/>
        <v>57791.999999999993</v>
      </c>
      <c r="K72" s="1037">
        <f t="shared" si="41"/>
        <v>52920</v>
      </c>
      <c r="L72" s="1037">
        <f t="shared" si="41"/>
        <v>68460</v>
      </c>
      <c r="M72" s="1037" t="str">
        <f t="shared" si="41"/>
        <v/>
      </c>
      <c r="N72" s="1037" t="str">
        <f t="shared" si="41"/>
        <v/>
      </c>
      <c r="O72" s="1037">
        <f t="shared" si="41"/>
        <v>42000</v>
      </c>
      <c r="P72" s="1037">
        <f t="shared" si="41"/>
        <v>21000</v>
      </c>
      <c r="S72"/>
      <c r="T72"/>
      <c r="U72"/>
      <c r="V72"/>
      <c r="W72"/>
      <c r="X72"/>
      <c r="Y72"/>
      <c r="Z72"/>
      <c r="AA72"/>
      <c r="AB72"/>
      <c r="AC72"/>
      <c r="AD72"/>
      <c r="AE72"/>
    </row>
    <row r="73" spans="2:32" ht="18" hidden="1" customHeight="1" outlineLevel="1">
      <c r="B73" s="1140" t="s">
        <v>766</v>
      </c>
      <c r="C73" s="158" t="s">
        <v>737</v>
      </c>
      <c r="D73" s="1037">
        <f t="shared" ref="D73" si="42">IF(SUM(E73:P73)&gt;0,SUM(E73:P73),"")</f>
        <v>1095646</v>
      </c>
      <c r="E73" s="1037">
        <f t="shared" ref="E73:P73" si="43">IF((E70*E67)&gt;0,(E70*E67),"")</f>
        <v>43896</v>
      </c>
      <c r="F73" s="1037">
        <f t="shared" si="43"/>
        <v>64375.000000000007</v>
      </c>
      <c r="G73" s="1037">
        <f t="shared" si="43"/>
        <v>144375</v>
      </c>
      <c r="H73" s="1037">
        <f t="shared" si="43"/>
        <v>90625</v>
      </c>
      <c r="I73" s="1037">
        <f t="shared" si="43"/>
        <v>146750</v>
      </c>
      <c r="J73" s="1037">
        <f t="shared" si="43"/>
        <v>131375.00000000003</v>
      </c>
      <c r="K73" s="1037">
        <f t="shared" si="43"/>
        <v>64750</v>
      </c>
      <c r="L73" s="1037">
        <f t="shared" si="43"/>
        <v>76250</v>
      </c>
      <c r="M73" s="1037">
        <f t="shared" si="43"/>
        <v>63749.999999999993</v>
      </c>
      <c r="N73" s="1037">
        <f t="shared" si="43"/>
        <v>105750.00000000001</v>
      </c>
      <c r="O73" s="1037">
        <f t="shared" si="43"/>
        <v>53750</v>
      </c>
      <c r="P73" s="1037">
        <f t="shared" si="43"/>
        <v>110000.00000000001</v>
      </c>
      <c r="S73"/>
      <c r="T73"/>
      <c r="U73"/>
      <c r="V73"/>
      <c r="W73"/>
      <c r="X73"/>
      <c r="Y73"/>
      <c r="Z73"/>
      <c r="AA73"/>
      <c r="AB73"/>
      <c r="AC73"/>
      <c r="AD73"/>
      <c r="AE73"/>
    </row>
    <row r="74" spans="2:32" s="1294" customFormat="1" ht="18" hidden="1" customHeight="1" collapsed="1">
      <c r="B74" s="1353" t="s">
        <v>766</v>
      </c>
      <c r="C74" s="1582" t="s">
        <v>738</v>
      </c>
      <c r="D74" s="1593">
        <f>IFERROR(SUM(E74:P74),"")</f>
        <v>923031.86470000003</v>
      </c>
      <c r="E74" s="1593">
        <f>SUM(E75:E83)</f>
        <v>82200.126999999993</v>
      </c>
      <c r="F74" s="1593">
        <f t="shared" ref="F74:P74" si="44">SUM(F75:F83)</f>
        <v>69295.821599999996</v>
      </c>
      <c r="G74" s="1593">
        <f t="shared" si="44"/>
        <v>85135.679199999999</v>
      </c>
      <c r="H74" s="1593">
        <f t="shared" si="44"/>
        <v>83144.828800000003</v>
      </c>
      <c r="I74" s="1593">
        <f t="shared" si="44"/>
        <v>67816.254000000001</v>
      </c>
      <c r="J74" s="1593">
        <f t="shared" si="44"/>
        <v>78047.010999999999</v>
      </c>
      <c r="K74" s="1593">
        <f t="shared" si="44"/>
        <v>83319.266299999988</v>
      </c>
      <c r="L74" s="1593">
        <f t="shared" si="44"/>
        <v>90448.790999999997</v>
      </c>
      <c r="M74" s="1593">
        <f t="shared" si="44"/>
        <v>58094.018799999998</v>
      </c>
      <c r="N74" s="1593">
        <f t="shared" si="44"/>
        <v>68221.508799999996</v>
      </c>
      <c r="O74" s="1593">
        <f t="shared" si="44"/>
        <v>79826.868799999997</v>
      </c>
      <c r="P74" s="1593">
        <f t="shared" si="44"/>
        <v>77481.689400000003</v>
      </c>
      <c r="R74"/>
      <c r="S74"/>
      <c r="T74"/>
      <c r="U74"/>
      <c r="V74"/>
      <c r="W74"/>
      <c r="X74"/>
      <c r="Y74"/>
      <c r="Z74"/>
      <c r="AA74"/>
      <c r="AB74"/>
      <c r="AC74"/>
      <c r="AD74"/>
      <c r="AE74"/>
      <c r="AF74"/>
    </row>
    <row r="75" spans="2:32" ht="18" hidden="1" customHeight="1" outlineLevel="1">
      <c r="B75" s="1140" t="s">
        <v>766</v>
      </c>
      <c r="C75" s="1028" t="s">
        <v>757</v>
      </c>
      <c r="D75" s="1041">
        <f t="shared" ref="D75:D83" si="45">IF(SUM(E75:P75)&gt;0,SUM(E75:P75),"")</f>
        <v>612293.48900000006</v>
      </c>
      <c r="E75" s="1038">
        <v>50925.06</v>
      </c>
      <c r="F75" s="1038">
        <v>50925.06</v>
      </c>
      <c r="G75" s="1038">
        <v>50925.06</v>
      </c>
      <c r="H75" s="1038">
        <v>50925.06</v>
      </c>
      <c r="I75" s="1038">
        <v>50925.06</v>
      </c>
      <c r="J75" s="1038">
        <v>50925.06</v>
      </c>
      <c r="K75" s="1038">
        <v>50925.06</v>
      </c>
      <c r="L75" s="1038">
        <v>60637.5</v>
      </c>
      <c r="M75" s="1038">
        <v>40425</v>
      </c>
      <c r="N75" s="1038">
        <v>50925.06</v>
      </c>
      <c r="O75" s="1038">
        <v>50925.03</v>
      </c>
      <c r="P75" s="1038">
        <v>52905.478999999999</v>
      </c>
      <c r="S75"/>
      <c r="T75"/>
      <c r="U75"/>
      <c r="V75"/>
      <c r="W75"/>
      <c r="X75"/>
      <c r="Y75"/>
      <c r="Z75"/>
      <c r="AA75"/>
      <c r="AB75"/>
      <c r="AC75"/>
      <c r="AD75"/>
      <c r="AE75"/>
    </row>
    <row r="76" spans="2:32" ht="18" hidden="1" customHeight="1" outlineLevel="1">
      <c r="B76" s="1140" t="s">
        <v>766</v>
      </c>
      <c r="C76" s="1028" t="s">
        <v>756</v>
      </c>
      <c r="D76" s="1041">
        <f t="shared" si="45"/>
        <v>24724</v>
      </c>
      <c r="E76" s="1038"/>
      <c r="F76" s="1038">
        <v>3000</v>
      </c>
      <c r="G76" s="1038">
        <v>3696</v>
      </c>
      <c r="H76" s="1038">
        <v>3792</v>
      </c>
      <c r="I76" s="1038"/>
      <c r="J76" s="1038">
        <v>3936</v>
      </c>
      <c r="K76" s="1038">
        <v>3360</v>
      </c>
      <c r="L76" s="1038"/>
      <c r="M76" s="1038">
        <v>3630</v>
      </c>
      <c r="N76" s="1038"/>
      <c r="O76" s="1038">
        <v>3310</v>
      </c>
      <c r="P76" s="1038"/>
      <c r="S76"/>
      <c r="T76"/>
      <c r="U76"/>
      <c r="V76"/>
      <c r="W76"/>
      <c r="X76"/>
      <c r="Y76"/>
      <c r="Z76"/>
      <c r="AA76"/>
      <c r="AB76"/>
      <c r="AC76"/>
      <c r="AD76"/>
      <c r="AE76"/>
    </row>
    <row r="77" spans="2:32" ht="18" hidden="1" customHeight="1" outlineLevel="1">
      <c r="B77" s="1140" t="s">
        <v>766</v>
      </c>
      <c r="C77" s="1028" t="s">
        <v>724</v>
      </c>
      <c r="D77" s="1041" t="str">
        <f t="shared" si="45"/>
        <v/>
      </c>
      <c r="E77" s="1038"/>
      <c r="F77" s="1038"/>
      <c r="G77" s="1038"/>
      <c r="H77" s="1038"/>
      <c r="I77" s="1038"/>
      <c r="J77" s="1038"/>
      <c r="K77" s="1038"/>
      <c r="L77" s="1038"/>
      <c r="M77" s="1038"/>
      <c r="N77" s="1038"/>
      <c r="O77" s="1038"/>
      <c r="P77" s="1038"/>
      <c r="S77"/>
      <c r="T77"/>
      <c r="U77"/>
      <c r="V77"/>
      <c r="W77"/>
      <c r="X77"/>
      <c r="Y77"/>
      <c r="Z77"/>
      <c r="AA77"/>
      <c r="AB77"/>
      <c r="AC77"/>
      <c r="AD77"/>
      <c r="AE77"/>
    </row>
    <row r="78" spans="2:32" ht="18" hidden="1" customHeight="1" outlineLevel="1">
      <c r="B78" s="1140" t="s">
        <v>766</v>
      </c>
      <c r="C78" s="1028" t="s">
        <v>725</v>
      </c>
      <c r="D78" s="1041" t="str">
        <f t="shared" si="45"/>
        <v/>
      </c>
      <c r="E78" s="1038"/>
      <c r="F78" s="1038"/>
      <c r="G78" s="1038"/>
      <c r="H78" s="1038"/>
      <c r="I78" s="1038"/>
      <c r="J78" s="1038"/>
      <c r="K78" s="1038"/>
      <c r="L78" s="1038"/>
      <c r="M78" s="1038"/>
      <c r="N78" s="1038"/>
      <c r="O78" s="1038"/>
      <c r="P78" s="1038"/>
      <c r="S78"/>
      <c r="T78"/>
      <c r="U78"/>
      <c r="V78"/>
      <c r="W78"/>
      <c r="X78"/>
      <c r="Y78"/>
      <c r="Z78"/>
      <c r="AA78"/>
      <c r="AB78"/>
      <c r="AC78"/>
      <c r="AD78"/>
      <c r="AE78"/>
    </row>
    <row r="79" spans="2:32" ht="18" hidden="1" customHeight="1" outlineLevel="1">
      <c r="B79" s="1140" t="s">
        <v>766</v>
      </c>
      <c r="C79" s="1028" t="s">
        <v>726</v>
      </c>
      <c r="D79" s="1112">
        <f t="shared" si="45"/>
        <v>34918.997499999998</v>
      </c>
      <c r="E79" s="1038"/>
      <c r="F79" s="1038"/>
      <c r="G79" s="1038">
        <v>5007.5</v>
      </c>
      <c r="H79" s="1038">
        <v>4561.8900000000003</v>
      </c>
      <c r="I79" s="1038"/>
      <c r="J79" s="1038"/>
      <c r="K79" s="1038">
        <f>309.9575+5002.3</f>
        <v>5312.2574999999997</v>
      </c>
      <c r="L79" s="1038">
        <f>2535.17+6329.38</f>
        <v>8864.5499999999993</v>
      </c>
      <c r="M79" s="1038"/>
      <c r="N79" s="1038"/>
      <c r="O79" s="1038">
        <f>2737.71+5698.9</f>
        <v>8436.61</v>
      </c>
      <c r="P79" s="1038">
        <f>1019.19+1717</f>
        <v>2736.19</v>
      </c>
      <c r="S79"/>
      <c r="T79"/>
      <c r="U79"/>
      <c r="V79"/>
      <c r="W79"/>
      <c r="X79"/>
      <c r="Y79"/>
      <c r="Z79"/>
      <c r="AA79"/>
      <c r="AB79"/>
      <c r="AC79"/>
      <c r="AD79"/>
      <c r="AE79"/>
    </row>
    <row r="80" spans="2:32" ht="18" hidden="1" customHeight="1" outlineLevel="1">
      <c r="B80" s="1140" t="s">
        <v>766</v>
      </c>
      <c r="C80" s="1028" t="s">
        <v>721</v>
      </c>
      <c r="D80" s="1041">
        <f t="shared" si="45"/>
        <v>17955.86</v>
      </c>
      <c r="E80" s="1038"/>
      <c r="F80" s="1038"/>
      <c r="G80" s="1038">
        <v>5313.5</v>
      </c>
      <c r="H80" s="1038">
        <v>4641.8900000000003</v>
      </c>
      <c r="I80" s="1038"/>
      <c r="J80" s="1038">
        <v>350</v>
      </c>
      <c r="K80" s="1038">
        <v>7650.47</v>
      </c>
      <c r="L80" s="1038"/>
      <c r="M80" s="1038"/>
      <c r="N80" s="1038"/>
      <c r="O80" s="1038"/>
      <c r="P80" s="1038"/>
      <c r="S80"/>
      <c r="T80"/>
      <c r="U80"/>
      <c r="V80"/>
      <c r="W80"/>
      <c r="X80"/>
      <c r="Y80"/>
      <c r="Z80"/>
      <c r="AA80"/>
      <c r="AB80"/>
      <c r="AC80"/>
      <c r="AD80"/>
      <c r="AE80"/>
    </row>
    <row r="81" spans="2:32" ht="18" hidden="1" customHeight="1" outlineLevel="1">
      <c r="B81" s="1140" t="s">
        <v>766</v>
      </c>
      <c r="C81" s="158" t="s">
        <v>717</v>
      </c>
      <c r="D81" s="1041" t="str">
        <f t="shared" si="45"/>
        <v/>
      </c>
      <c r="E81" s="1038"/>
      <c r="F81" s="1038"/>
      <c r="G81" s="1038"/>
      <c r="H81" s="1038"/>
      <c r="I81" s="1038"/>
      <c r="J81" s="1038"/>
      <c r="K81" s="1038"/>
      <c r="L81" s="1038"/>
      <c r="M81" s="1038"/>
      <c r="N81" s="1038"/>
      <c r="O81" s="1038"/>
      <c r="P81" s="1038"/>
      <c r="S81"/>
      <c r="T81"/>
      <c r="U81"/>
      <c r="V81"/>
      <c r="W81"/>
      <c r="X81"/>
      <c r="Y81"/>
      <c r="Z81"/>
      <c r="AA81"/>
      <c r="AB81"/>
      <c r="AC81"/>
      <c r="AD81"/>
      <c r="AE81"/>
    </row>
    <row r="82" spans="2:32" ht="18" hidden="1" customHeight="1" outlineLevel="1">
      <c r="B82" s="1140" t="s">
        <v>766</v>
      </c>
      <c r="C82" s="158" t="s">
        <v>718</v>
      </c>
      <c r="D82" s="1041">
        <f t="shared" si="45"/>
        <v>199898.76320000002</v>
      </c>
      <c r="E82" s="1038">
        <v>31275.066999999999</v>
      </c>
      <c r="F82" s="1038">
        <v>11583.636600000002</v>
      </c>
      <c r="G82" s="1038">
        <v>18566.9892</v>
      </c>
      <c r="H82" s="1038">
        <v>14444.8488</v>
      </c>
      <c r="I82" s="1038">
        <v>16891.194000000003</v>
      </c>
      <c r="J82" s="1038">
        <v>18056.061000000002</v>
      </c>
      <c r="K82" s="1038">
        <v>14444.8488</v>
      </c>
      <c r="L82" s="1038">
        <v>15821.061</v>
      </c>
      <c r="M82" s="1038">
        <v>12464.848800000002</v>
      </c>
      <c r="N82" s="1038">
        <v>12464.8488</v>
      </c>
      <c r="O82" s="1038">
        <v>15581.058800000001</v>
      </c>
      <c r="P82" s="1038">
        <v>18304.3004</v>
      </c>
      <c r="S82"/>
      <c r="T82"/>
      <c r="U82"/>
      <c r="V82"/>
      <c r="W82"/>
      <c r="X82"/>
      <c r="Y82"/>
      <c r="Z82"/>
      <c r="AA82"/>
      <c r="AB82"/>
      <c r="AC82"/>
      <c r="AD82"/>
      <c r="AE82"/>
    </row>
    <row r="83" spans="2:32" ht="18" hidden="1" customHeight="1" outlineLevel="1">
      <c r="B83" s="1140" t="s">
        <v>766</v>
      </c>
      <c r="C83" s="158" t="s">
        <v>719</v>
      </c>
      <c r="D83" s="1041">
        <f t="shared" si="45"/>
        <v>33240.754999999997</v>
      </c>
      <c r="E83" s="1038"/>
      <c r="F83" s="1038">
        <v>3787.125</v>
      </c>
      <c r="G83" s="1038">
        <v>1626.6300000000003</v>
      </c>
      <c r="H83" s="1038">
        <v>4779.1400000000003</v>
      </c>
      <c r="I83" s="1038"/>
      <c r="J83" s="1038">
        <v>4779.8900000000003</v>
      </c>
      <c r="K83" s="1038">
        <v>1626.63</v>
      </c>
      <c r="L83" s="1038">
        <v>5125.68</v>
      </c>
      <c r="M83" s="1038">
        <v>1574.17</v>
      </c>
      <c r="N83" s="1038">
        <v>4831.6000000000004</v>
      </c>
      <c r="O83" s="1038">
        <v>1574.17</v>
      </c>
      <c r="P83" s="1038">
        <v>3535.7200000000003</v>
      </c>
      <c r="S83"/>
      <c r="T83"/>
      <c r="U83"/>
      <c r="V83"/>
      <c r="W83"/>
      <c r="X83"/>
      <c r="Y83"/>
      <c r="Z83"/>
      <c r="AA83"/>
      <c r="AB83"/>
      <c r="AC83"/>
      <c r="AD83"/>
      <c r="AE83"/>
    </row>
    <row r="84" spans="2:32" s="1294" customFormat="1" ht="18" hidden="1" customHeight="1" collapsed="1" thickBot="1">
      <c r="B84" s="1353" t="s">
        <v>766</v>
      </c>
      <c r="C84" s="1346" t="s">
        <v>716</v>
      </c>
      <c r="D84" s="1044">
        <f>IFERROR(SUM(E84:P84),"")</f>
        <v>651911.1353000002</v>
      </c>
      <c r="E84" s="1044">
        <f>(E71-E74)</f>
        <v>-8304.1269999999931</v>
      </c>
      <c r="F84" s="1044">
        <f t="shared" ref="F84:P84" si="46">(F71-F74)</f>
        <v>86704.178400000004</v>
      </c>
      <c r="G84" s="1044">
        <f t="shared" si="46"/>
        <v>101239.3208</v>
      </c>
      <c r="H84" s="1044">
        <f t="shared" si="46"/>
        <v>38980.171199999997</v>
      </c>
      <c r="I84" s="1044">
        <f t="shared" si="46"/>
        <v>120933.746</v>
      </c>
      <c r="J84" s="1044">
        <f t="shared" si="46"/>
        <v>111119.98900000003</v>
      </c>
      <c r="K84" s="1044">
        <f t="shared" si="46"/>
        <v>34350.733700000012</v>
      </c>
      <c r="L84" s="1044">
        <f t="shared" si="46"/>
        <v>54261.209000000003</v>
      </c>
      <c r="M84" s="1044">
        <f t="shared" si="46"/>
        <v>5655.9811999999947</v>
      </c>
      <c r="N84" s="1044">
        <f t="shared" si="46"/>
        <v>37528.491200000019</v>
      </c>
      <c r="O84" s="1044">
        <f t="shared" si="46"/>
        <v>15923.131200000003</v>
      </c>
      <c r="P84" s="1044">
        <f t="shared" si="46"/>
        <v>53518.310600000012</v>
      </c>
      <c r="R84"/>
      <c r="S84"/>
      <c r="T84"/>
      <c r="U84"/>
      <c r="V84"/>
      <c r="W84"/>
      <c r="X84"/>
      <c r="Y84"/>
      <c r="Z84"/>
      <c r="AA84"/>
      <c r="AB84"/>
      <c r="AC84"/>
      <c r="AD84"/>
      <c r="AE84"/>
      <c r="AF84"/>
    </row>
    <row r="85" spans="2:32" ht="15.75" hidden="1" outlineLevel="1" thickTop="1">
      <c r="B85" s="1140" t="s">
        <v>766</v>
      </c>
      <c r="C85" s="1049"/>
      <c r="D85" s="1049">
        <f>IFERROR(D84/D71,"")</f>
        <v>0.41392681214494759</v>
      </c>
      <c r="E85" s="1049">
        <f t="shared" ref="E85:P85" si="47">IFERROR(E84/E71,"")</f>
        <v>-0.11237586608206118</v>
      </c>
      <c r="F85" s="1049">
        <f t="shared" si="47"/>
        <v>0.55579601538461543</v>
      </c>
      <c r="G85" s="1049">
        <f t="shared" si="47"/>
        <v>0.54320225781354792</v>
      </c>
      <c r="H85" s="1049">
        <f t="shared" si="47"/>
        <v>0.31918256867963152</v>
      </c>
      <c r="I85" s="1049">
        <f t="shared" si="47"/>
        <v>0.64070858807947018</v>
      </c>
      <c r="J85" s="1049">
        <f t="shared" si="47"/>
        <v>0.58741740895610761</v>
      </c>
      <c r="K85" s="1049">
        <f t="shared" si="47"/>
        <v>0.29192431120931428</v>
      </c>
      <c r="L85" s="1049">
        <f t="shared" si="47"/>
        <v>0.3749651648123834</v>
      </c>
      <c r="M85" s="1049">
        <f t="shared" si="47"/>
        <v>8.872127372549013E-2</v>
      </c>
      <c r="N85" s="1049">
        <f t="shared" si="47"/>
        <v>0.35487934940898358</v>
      </c>
      <c r="O85" s="1049">
        <f t="shared" si="47"/>
        <v>0.16629902036553529</v>
      </c>
      <c r="P85" s="1049">
        <f t="shared" si="47"/>
        <v>0.40853672213740461</v>
      </c>
      <c r="S85"/>
      <c r="T85"/>
      <c r="U85"/>
      <c r="V85"/>
      <c r="W85"/>
      <c r="X85"/>
      <c r="Y85"/>
      <c r="Z85"/>
      <c r="AA85"/>
      <c r="AB85"/>
      <c r="AC85"/>
      <c r="AD85"/>
      <c r="AE85"/>
    </row>
    <row r="86" spans="2:32" s="1294" customFormat="1" ht="18" hidden="1" customHeight="1" collapsed="1">
      <c r="B86" s="1353" t="s">
        <v>766</v>
      </c>
      <c r="C86" s="1594" t="s">
        <v>740</v>
      </c>
      <c r="D86" s="1589">
        <f t="shared" ref="D86:D96" si="48">IF(SUM(E86:P86)&gt;0,SUM(E86:P86),"")</f>
        <v>378991.09583849995</v>
      </c>
      <c r="E86" s="1589">
        <f>SUM(E87:E94)</f>
        <v>38779.620499999997</v>
      </c>
      <c r="F86" s="1589">
        <f>SUM(F87:F94)</f>
        <v>26339.09418</v>
      </c>
      <c r="G86" s="1589">
        <f>SUM(G87:G94)</f>
        <v>29659.022758499999</v>
      </c>
      <c r="H86" s="1589">
        <f>SUM(H87:H94)</f>
        <v>31267.582399999999</v>
      </c>
      <c r="I86" s="1589">
        <f t="shared" ref="I86:P86" si="49">SUM(I87:I94)</f>
        <v>26819.4764</v>
      </c>
      <c r="J86" s="1589">
        <f t="shared" si="49"/>
        <v>38534.054000000004</v>
      </c>
      <c r="K86" s="1589">
        <f t="shared" si="49"/>
        <v>28447.041399999998</v>
      </c>
      <c r="L86" s="1589">
        <f t="shared" si="49"/>
        <v>38985.147400000009</v>
      </c>
      <c r="M86" s="1589">
        <f t="shared" si="49"/>
        <v>23279.400900000001</v>
      </c>
      <c r="N86" s="1589">
        <f t="shared" si="49"/>
        <v>30968.425899999998</v>
      </c>
      <c r="O86" s="1589">
        <f t="shared" si="49"/>
        <v>34726.764400000007</v>
      </c>
      <c r="P86" s="1589">
        <f t="shared" si="49"/>
        <v>31185.4656</v>
      </c>
      <c r="R86"/>
      <c r="S86"/>
      <c r="T86"/>
      <c r="U86"/>
      <c r="V86"/>
      <c r="W86"/>
      <c r="X86"/>
      <c r="Y86"/>
      <c r="Z86"/>
      <c r="AA86"/>
      <c r="AB86"/>
      <c r="AC86"/>
      <c r="AD86"/>
      <c r="AE86"/>
      <c r="AF86"/>
    </row>
    <row r="87" spans="2:32" ht="18" hidden="1" customHeight="1" outlineLevel="1">
      <c r="B87" s="1140" t="s">
        <v>766</v>
      </c>
      <c r="C87" s="158" t="s">
        <v>720</v>
      </c>
      <c r="D87" s="1041">
        <f t="shared" si="48"/>
        <v>207591.01</v>
      </c>
      <c r="E87" s="1038">
        <v>27274.034999999996</v>
      </c>
      <c r="F87" s="1038">
        <v>11144.611800000001</v>
      </c>
      <c r="G87" s="1038">
        <v>17336.0628</v>
      </c>
      <c r="H87" s="1038">
        <v>14859.482400000001</v>
      </c>
      <c r="I87" s="1038">
        <v>14859.482400000001</v>
      </c>
      <c r="J87" s="1038">
        <v>18574.352999999999</v>
      </c>
      <c r="K87" s="1038">
        <v>14859.482400000001</v>
      </c>
      <c r="L87" s="1038">
        <v>21502.377400000005</v>
      </c>
      <c r="M87" s="1038">
        <v>13096.157400000002</v>
      </c>
      <c r="N87" s="1038">
        <v>16899.482400000001</v>
      </c>
      <c r="O87" s="1038">
        <v>21124.3524</v>
      </c>
      <c r="P87" s="1038">
        <v>16061.1306</v>
      </c>
      <c r="S87"/>
      <c r="T87"/>
      <c r="U87"/>
      <c r="V87"/>
      <c r="W87"/>
      <c r="X87"/>
      <c r="Y87"/>
      <c r="Z87"/>
      <c r="AA87"/>
      <c r="AB87"/>
      <c r="AC87"/>
      <c r="AD87"/>
      <c r="AE87"/>
    </row>
    <row r="88" spans="2:32" ht="18" hidden="1" customHeight="1" outlineLevel="1">
      <c r="B88" s="1140" t="s">
        <v>766</v>
      </c>
      <c r="C88" s="158" t="s">
        <v>719</v>
      </c>
      <c r="D88" s="1041">
        <f t="shared" si="48"/>
        <v>40080.660000000003</v>
      </c>
      <c r="E88" s="1038"/>
      <c r="F88" s="1038">
        <v>5824.03</v>
      </c>
      <c r="G88" s="1038">
        <v>1953.8</v>
      </c>
      <c r="H88" s="1038">
        <v>6035.85</v>
      </c>
      <c r="I88" s="1038">
        <v>1953.8</v>
      </c>
      <c r="J88" s="1038">
        <v>6035.1</v>
      </c>
      <c r="K88" s="1038">
        <v>1953.8</v>
      </c>
      <c r="L88" s="1038">
        <v>6166.84</v>
      </c>
      <c r="M88" s="1038">
        <v>1890</v>
      </c>
      <c r="N88" s="1038">
        <v>1953.8</v>
      </c>
      <c r="O88" s="1038">
        <v>1890.75</v>
      </c>
      <c r="P88" s="1038">
        <v>4422.8900000000003</v>
      </c>
      <c r="S88"/>
      <c r="T88"/>
      <c r="U88"/>
      <c r="V88"/>
      <c r="W88"/>
      <c r="X88"/>
      <c r="Y88"/>
      <c r="Z88"/>
      <c r="AA88"/>
      <c r="AB88"/>
      <c r="AC88"/>
      <c r="AD88"/>
      <c r="AE88"/>
    </row>
    <row r="89" spans="2:32" ht="18" hidden="1" customHeight="1" outlineLevel="1">
      <c r="B89" s="1140" t="s">
        <v>766</v>
      </c>
      <c r="C89" s="158" t="s">
        <v>717</v>
      </c>
      <c r="D89" s="1041">
        <f t="shared" si="48"/>
        <v>78069.883990000002</v>
      </c>
      <c r="E89" s="1038">
        <v>7580.130000000001</v>
      </c>
      <c r="F89" s="1038">
        <v>5493.9053799999992</v>
      </c>
      <c r="G89" s="1038">
        <v>6014.6186099999995</v>
      </c>
      <c r="H89" s="1038">
        <v>6364.4699999999993</v>
      </c>
      <c r="I89" s="1038">
        <v>6086.93</v>
      </c>
      <c r="J89" s="1038">
        <v>9536.8000000000011</v>
      </c>
      <c r="K89" s="1038">
        <v>5837.9800000000005</v>
      </c>
      <c r="L89" s="1038">
        <v>7470.630000000001</v>
      </c>
      <c r="M89" s="1038">
        <v>4463.17</v>
      </c>
      <c r="N89" s="1038">
        <v>6330.61</v>
      </c>
      <c r="O89" s="1038">
        <v>6412.2300000000014</v>
      </c>
      <c r="P89" s="1038">
        <v>6478.41</v>
      </c>
      <c r="S89"/>
      <c r="T89"/>
      <c r="U89"/>
      <c r="V89"/>
      <c r="W89"/>
      <c r="X89"/>
      <c r="Y89"/>
      <c r="Z89"/>
      <c r="AA89"/>
      <c r="AB89"/>
      <c r="AC89"/>
      <c r="AD89"/>
      <c r="AE89"/>
    </row>
    <row r="90" spans="2:32" ht="18" hidden="1" customHeight="1" outlineLevel="1">
      <c r="B90" s="1140" t="s">
        <v>766</v>
      </c>
      <c r="C90" s="158" t="s">
        <v>726</v>
      </c>
      <c r="D90" s="1041">
        <f t="shared" si="48"/>
        <v>5521.1</v>
      </c>
      <c r="E90" s="1038"/>
      <c r="F90" s="1038"/>
      <c r="G90" s="1038"/>
      <c r="H90" s="1038"/>
      <c r="I90" s="1038"/>
      <c r="J90" s="1038"/>
      <c r="K90" s="1038">
        <v>1988.21</v>
      </c>
      <c r="L90" s="1038"/>
      <c r="M90" s="1038"/>
      <c r="N90" s="1038">
        <v>1851.1</v>
      </c>
      <c r="O90" s="1038">
        <v>1351.66</v>
      </c>
      <c r="P90" s="1038">
        <v>330.13</v>
      </c>
      <c r="S90"/>
      <c r="T90"/>
      <c r="U90"/>
      <c r="V90"/>
      <c r="W90"/>
      <c r="X90"/>
      <c r="Y90"/>
      <c r="Z90"/>
      <c r="AA90"/>
      <c r="AB90"/>
      <c r="AC90"/>
      <c r="AD90"/>
      <c r="AE90"/>
    </row>
    <row r="91" spans="2:32" ht="18" hidden="1" customHeight="1" outlineLevel="1">
      <c r="B91" s="1140" t="s">
        <v>766</v>
      </c>
      <c r="C91" s="1028" t="s">
        <v>721</v>
      </c>
      <c r="D91" s="1041">
        <f t="shared" si="48"/>
        <v>1186</v>
      </c>
      <c r="E91" s="1038"/>
      <c r="F91" s="1038">
        <v>100</v>
      </c>
      <c r="G91" s="1038">
        <v>506</v>
      </c>
      <c r="H91" s="1038">
        <v>80</v>
      </c>
      <c r="I91" s="1038"/>
      <c r="J91" s="1038">
        <v>500</v>
      </c>
      <c r="K91" s="1038"/>
      <c r="L91" s="1038"/>
      <c r="M91" s="1038"/>
      <c r="N91" s="1038"/>
      <c r="O91" s="1038"/>
      <c r="P91" s="1038"/>
      <c r="S91"/>
      <c r="T91"/>
      <c r="U91"/>
      <c r="V91"/>
      <c r="W91"/>
      <c r="X91"/>
      <c r="Y91"/>
      <c r="Z91"/>
      <c r="AA91"/>
      <c r="AB91"/>
      <c r="AC91"/>
      <c r="AD91"/>
      <c r="AE91"/>
    </row>
    <row r="92" spans="2:32" ht="18" hidden="1" customHeight="1" outlineLevel="1">
      <c r="B92" s="1140" t="s">
        <v>766</v>
      </c>
      <c r="C92" s="158" t="s">
        <v>752</v>
      </c>
      <c r="D92" s="1041">
        <f t="shared" ref="D92:D94" si="50">IF(SUM(E92:P92)&gt;0,SUM(E92:P92),"")</f>
        <v>40803.49</v>
      </c>
      <c r="E92" s="1068">
        <f>((15693.65*52)/12)*0.05</f>
        <v>3400.2908333333335</v>
      </c>
      <c r="F92" s="1068">
        <f>((15693.65*52)/12)*0.05</f>
        <v>3400.2908333333335</v>
      </c>
      <c r="G92" s="1068">
        <f t="shared" ref="G92:P92" si="51">((15693.65*52)/12)*0.05</f>
        <v>3400.2908333333335</v>
      </c>
      <c r="H92" s="1068">
        <f t="shared" si="51"/>
        <v>3400.2908333333335</v>
      </c>
      <c r="I92" s="1068">
        <f t="shared" si="51"/>
        <v>3400.2908333333335</v>
      </c>
      <c r="J92" s="1068">
        <f t="shared" si="51"/>
        <v>3400.2908333333335</v>
      </c>
      <c r="K92" s="1068">
        <f t="shared" si="51"/>
        <v>3400.2908333333335</v>
      </c>
      <c r="L92" s="1068">
        <f t="shared" si="51"/>
        <v>3400.2908333333335</v>
      </c>
      <c r="M92" s="1068">
        <f t="shared" si="51"/>
        <v>3400.2908333333335</v>
      </c>
      <c r="N92" s="1068">
        <f t="shared" si="51"/>
        <v>3400.2908333333335</v>
      </c>
      <c r="O92" s="1068">
        <f t="shared" si="51"/>
        <v>3400.2908333333335</v>
      </c>
      <c r="P92" s="1068">
        <f t="shared" si="51"/>
        <v>3400.2908333333335</v>
      </c>
      <c r="S92"/>
      <c r="T92"/>
      <c r="U92"/>
      <c r="V92"/>
      <c r="W92"/>
      <c r="X92"/>
      <c r="Y92"/>
      <c r="Z92"/>
      <c r="AA92"/>
      <c r="AB92"/>
      <c r="AC92"/>
      <c r="AD92"/>
      <c r="AE92"/>
    </row>
    <row r="93" spans="2:32" ht="18" hidden="1" customHeight="1" outlineLevel="1">
      <c r="B93" s="1140" t="s">
        <v>766</v>
      </c>
      <c r="C93" s="158" t="s">
        <v>384</v>
      </c>
      <c r="D93" s="1041">
        <f t="shared" si="50"/>
        <v>816.06200000000024</v>
      </c>
      <c r="E93" s="1068">
        <f>((313.87*52)/12)*0.05</f>
        <v>68.005166666666668</v>
      </c>
      <c r="F93" s="1068">
        <f t="shared" ref="F93:P93" si="52">((313.87*52)/12)*0.05</f>
        <v>68.005166666666668</v>
      </c>
      <c r="G93" s="1068">
        <f t="shared" si="52"/>
        <v>68.005166666666668</v>
      </c>
      <c r="H93" s="1068">
        <f t="shared" si="52"/>
        <v>68.005166666666668</v>
      </c>
      <c r="I93" s="1068">
        <f t="shared" si="52"/>
        <v>68.005166666666668</v>
      </c>
      <c r="J93" s="1068">
        <f t="shared" si="52"/>
        <v>68.005166666666668</v>
      </c>
      <c r="K93" s="1068">
        <f t="shared" si="52"/>
        <v>68.005166666666668</v>
      </c>
      <c r="L93" s="1068">
        <f t="shared" si="52"/>
        <v>68.005166666666668</v>
      </c>
      <c r="M93" s="1068">
        <f t="shared" si="52"/>
        <v>68.005166666666668</v>
      </c>
      <c r="N93" s="1068">
        <f t="shared" si="52"/>
        <v>68.005166666666668</v>
      </c>
      <c r="O93" s="1068">
        <f t="shared" si="52"/>
        <v>68.005166666666668</v>
      </c>
      <c r="P93" s="1068">
        <f t="shared" si="52"/>
        <v>68.005166666666668</v>
      </c>
      <c r="S93"/>
      <c r="T93"/>
      <c r="U93"/>
      <c r="V93"/>
      <c r="W93"/>
      <c r="X93"/>
      <c r="Y93"/>
      <c r="Z93"/>
      <c r="AA93"/>
      <c r="AB93"/>
      <c r="AC93"/>
      <c r="AD93"/>
      <c r="AE93"/>
    </row>
    <row r="94" spans="2:32" ht="18" hidden="1" customHeight="1" outlineLevel="1">
      <c r="B94" s="1140" t="s">
        <v>766</v>
      </c>
      <c r="C94" s="158" t="s">
        <v>717</v>
      </c>
      <c r="D94" s="1041">
        <f t="shared" si="50"/>
        <v>4922.8898485</v>
      </c>
      <c r="E94" s="1068">
        <f>9143.19*0.05</f>
        <v>457.15950000000004</v>
      </c>
      <c r="F94" s="1068">
        <f>6165.02*0.05</f>
        <v>308.25100000000003</v>
      </c>
      <c r="G94" s="1068">
        <f>7604.90697*0.05</f>
        <v>380.24534850000003</v>
      </c>
      <c r="H94" s="1068">
        <f>9189.68*0.05</f>
        <v>459.48400000000004</v>
      </c>
      <c r="I94" s="1068">
        <f>9019.36*0.05</f>
        <v>450.96800000000007</v>
      </c>
      <c r="J94" s="1068">
        <f>8390.1*0.05</f>
        <v>419.50500000000005</v>
      </c>
      <c r="K94" s="1068">
        <f>6785.46*0.05</f>
        <v>339.27300000000002</v>
      </c>
      <c r="L94" s="1068">
        <f>7540.08*0.05</f>
        <v>377.00400000000002</v>
      </c>
      <c r="M94" s="1068">
        <f>7235.55*0.05</f>
        <v>361.77750000000003</v>
      </c>
      <c r="N94" s="1068">
        <f>9302.75*0.05</f>
        <v>465.13750000000005</v>
      </c>
      <c r="O94" s="1068">
        <f>9589.52*0.05</f>
        <v>479.47600000000006</v>
      </c>
      <c r="P94" s="1068">
        <f>8492.18*0.05</f>
        <v>424.60900000000004</v>
      </c>
      <c r="S94"/>
      <c r="T94"/>
      <c r="U94"/>
      <c r="V94"/>
      <c r="W94"/>
      <c r="X94"/>
      <c r="Y94"/>
      <c r="Z94"/>
      <c r="AA94"/>
      <c r="AB94"/>
      <c r="AC94"/>
      <c r="AD94"/>
      <c r="AE94"/>
    </row>
    <row r="95" spans="2:32" s="1294" customFormat="1" ht="18" hidden="1" customHeight="1" collapsed="1">
      <c r="B95" s="1353" t="s">
        <v>766</v>
      </c>
      <c r="C95" s="1582" t="s">
        <v>741</v>
      </c>
      <c r="D95" s="1583" t="str">
        <f t="shared" si="48"/>
        <v/>
      </c>
      <c r="E95" s="1583">
        <f>IF(SUM(E96:E96)&gt;0,SUM(E96:E96),0)</f>
        <v>0</v>
      </c>
      <c r="F95" s="1583">
        <f t="shared" ref="F95:P95" si="53">IF(SUM(F96:F96)&gt;0,SUM(F96:F96),0)</f>
        <v>0</v>
      </c>
      <c r="G95" s="1583">
        <f t="shared" si="53"/>
        <v>0</v>
      </c>
      <c r="H95" s="1583">
        <f t="shared" si="53"/>
        <v>0</v>
      </c>
      <c r="I95" s="1583">
        <f t="shared" si="53"/>
        <v>0</v>
      </c>
      <c r="J95" s="1583">
        <f t="shared" si="53"/>
        <v>0</v>
      </c>
      <c r="K95" s="1583">
        <f t="shared" si="53"/>
        <v>0</v>
      </c>
      <c r="L95" s="1583">
        <f t="shared" si="53"/>
        <v>0</v>
      </c>
      <c r="M95" s="1583">
        <f t="shared" si="53"/>
        <v>0</v>
      </c>
      <c r="N95" s="1583">
        <f t="shared" si="53"/>
        <v>0</v>
      </c>
      <c r="O95" s="1583">
        <f t="shared" si="53"/>
        <v>0</v>
      </c>
      <c r="P95" s="1583">
        <f t="shared" si="53"/>
        <v>0</v>
      </c>
      <c r="R95"/>
      <c r="S95"/>
      <c r="T95"/>
      <c r="U95"/>
      <c r="V95"/>
      <c r="W95"/>
      <c r="X95"/>
      <c r="Y95"/>
      <c r="Z95"/>
      <c r="AA95"/>
      <c r="AB95"/>
      <c r="AC95"/>
      <c r="AD95"/>
      <c r="AE95"/>
      <c r="AF95"/>
    </row>
    <row r="96" spans="2:32" ht="18" hidden="1" customHeight="1" outlineLevel="1" thickBot="1">
      <c r="B96" s="1140" t="s">
        <v>766</v>
      </c>
      <c r="C96" s="1028" t="s">
        <v>721</v>
      </c>
      <c r="D96" s="1037" t="str">
        <f t="shared" si="48"/>
        <v/>
      </c>
      <c r="E96" s="1038"/>
      <c r="F96" s="1038"/>
      <c r="G96" s="1038"/>
      <c r="H96" s="1038"/>
      <c r="I96" s="1038"/>
      <c r="J96" s="1038"/>
      <c r="K96" s="1038"/>
      <c r="L96" s="1038"/>
      <c r="M96" s="1038"/>
      <c r="N96" s="1038"/>
      <c r="O96" s="1038"/>
      <c r="P96" s="1038"/>
      <c r="S96"/>
      <c r="T96"/>
      <c r="U96"/>
      <c r="V96"/>
      <c r="W96"/>
      <c r="X96"/>
      <c r="Y96"/>
      <c r="Z96"/>
      <c r="AA96"/>
      <c r="AB96"/>
      <c r="AC96"/>
      <c r="AD96"/>
      <c r="AE96"/>
    </row>
    <row r="97" spans="2:32" s="1294" customFormat="1" ht="18" hidden="1" customHeight="1" collapsed="1" thickTop="1" thickBot="1">
      <c r="B97" s="1353" t="s">
        <v>766</v>
      </c>
      <c r="C97" s="1348" t="s">
        <v>739</v>
      </c>
      <c r="D97" s="1048">
        <f>IFERROR(SUM(E97:P97),"")</f>
        <v>272920.03946150007</v>
      </c>
      <c r="E97" s="1048">
        <f>(E84-E86-E95)</f>
        <v>-47083.74749999999</v>
      </c>
      <c r="F97" s="1048">
        <f t="shared" ref="F97:P97" si="54">(F84-F86-F95)</f>
        <v>60365.084220000004</v>
      </c>
      <c r="G97" s="1048">
        <f t="shared" si="54"/>
        <v>71580.298041500006</v>
      </c>
      <c r="H97" s="1048">
        <f t="shared" si="54"/>
        <v>7712.5887999999977</v>
      </c>
      <c r="I97" s="1048">
        <f t="shared" si="54"/>
        <v>94114.2696</v>
      </c>
      <c r="J97" s="1048">
        <f t="shared" si="54"/>
        <v>72585.935000000027</v>
      </c>
      <c r="K97" s="1048">
        <f t="shared" si="54"/>
        <v>5903.6923000000133</v>
      </c>
      <c r="L97" s="1048">
        <f t="shared" si="54"/>
        <v>15276.061599999994</v>
      </c>
      <c r="M97" s="1048">
        <f t="shared" si="54"/>
        <v>-17623.419700000006</v>
      </c>
      <c r="N97" s="1048">
        <f t="shared" si="54"/>
        <v>6560.0653000000202</v>
      </c>
      <c r="O97" s="1048">
        <f t="shared" si="54"/>
        <v>-18803.633200000004</v>
      </c>
      <c r="P97" s="1048">
        <f t="shared" si="54"/>
        <v>22332.845000000012</v>
      </c>
      <c r="R97"/>
      <c r="S97"/>
      <c r="T97"/>
      <c r="U97"/>
      <c r="V97"/>
      <c r="W97"/>
      <c r="X97"/>
      <c r="Y97"/>
      <c r="Z97"/>
      <c r="AA97"/>
      <c r="AB97"/>
      <c r="AC97"/>
      <c r="AD97"/>
      <c r="AE97"/>
      <c r="AF97"/>
    </row>
    <row r="98" spans="2:32" ht="15.75" hidden="1" outlineLevel="1" thickTop="1">
      <c r="B98" s="1140" t="s">
        <v>766</v>
      </c>
      <c r="C98" s="1050"/>
      <c r="D98" s="1056">
        <f>IFERROR(D97/D71,"")</f>
        <v>0.17328883614295887</v>
      </c>
      <c r="E98" s="1056">
        <f t="shared" ref="E98:P98" si="55">IFERROR(E97/E71,"")</f>
        <v>-0.6371623294900941</v>
      </c>
      <c r="F98" s="1056">
        <f t="shared" si="55"/>
        <v>0.38695566807692311</v>
      </c>
      <c r="G98" s="1056">
        <f t="shared" si="55"/>
        <v>0.3840659854674715</v>
      </c>
      <c r="H98" s="1056">
        <f t="shared" si="55"/>
        <v>6.3153234800409394E-2</v>
      </c>
      <c r="I98" s="1056">
        <f t="shared" si="55"/>
        <v>0.49861864688741719</v>
      </c>
      <c r="J98" s="1056">
        <f t="shared" si="55"/>
        <v>0.38371351768543149</v>
      </c>
      <c r="K98" s="1056">
        <f t="shared" si="55"/>
        <v>5.0171601087787995E-2</v>
      </c>
      <c r="L98" s="1056">
        <f t="shared" si="55"/>
        <v>0.1055632755165503</v>
      </c>
      <c r="M98" s="1056">
        <f t="shared" si="55"/>
        <v>-0.27644579921568641</v>
      </c>
      <c r="N98" s="1056">
        <f t="shared" si="55"/>
        <v>6.2033714420803965E-2</v>
      </c>
      <c r="O98" s="1056">
        <f t="shared" si="55"/>
        <v>-0.19638259216710185</v>
      </c>
      <c r="P98" s="1056">
        <f t="shared" si="55"/>
        <v>0.17047973282442755</v>
      </c>
      <c r="S98"/>
      <c r="T98"/>
      <c r="U98"/>
      <c r="V98"/>
      <c r="W98"/>
      <c r="X98"/>
      <c r="Y98"/>
      <c r="Z98"/>
      <c r="AA98"/>
      <c r="AB98"/>
      <c r="AC98"/>
      <c r="AD98"/>
      <c r="AE98"/>
    </row>
    <row r="99" spans="2:32" s="1294" customFormat="1" hidden="1" collapsed="1">
      <c r="B99" s="1353" t="s">
        <v>766</v>
      </c>
      <c r="C99" s="1349" t="s">
        <v>728</v>
      </c>
      <c r="D99" s="1066" t="str">
        <f t="shared" ref="D99" si="56">IF(SUM(E99:P99)&gt;0,SUM(E99:P99),"")</f>
        <v/>
      </c>
      <c r="E99" s="1067"/>
      <c r="F99" s="1067"/>
      <c r="G99" s="1067"/>
      <c r="H99" s="1067"/>
      <c r="I99" s="1067"/>
      <c r="J99" s="1067"/>
      <c r="K99" s="1067"/>
      <c r="L99" s="1067"/>
      <c r="M99" s="1067"/>
      <c r="N99" s="1067"/>
      <c r="O99" s="1067"/>
      <c r="P99" s="1067"/>
      <c r="R99"/>
      <c r="S99"/>
      <c r="T99"/>
      <c r="U99"/>
      <c r="V99"/>
      <c r="W99"/>
      <c r="X99"/>
      <c r="Y99"/>
      <c r="Z99"/>
      <c r="AA99"/>
      <c r="AB99"/>
      <c r="AC99"/>
      <c r="AD99"/>
      <c r="AE99"/>
      <c r="AF99"/>
    </row>
    <row r="100" spans="2:32" s="1294" customFormat="1" ht="18" hidden="1" customHeight="1">
      <c r="B100" s="1353" t="s">
        <v>766</v>
      </c>
      <c r="C100" s="1350" t="s">
        <v>742</v>
      </c>
      <c r="D100" s="1053">
        <f>IFERROR(SUM(E100:P100),"")</f>
        <v>1302022.9605385</v>
      </c>
      <c r="E100" s="1057">
        <f>SUM(E101:E103)</f>
        <v>120979.7475</v>
      </c>
      <c r="F100" s="1057">
        <f t="shared" ref="F100:P100" si="57">SUM(F101:F103)</f>
        <v>95634.915779999996</v>
      </c>
      <c r="G100" s="1057">
        <f t="shared" si="57"/>
        <v>114794.70195849999</v>
      </c>
      <c r="H100" s="1057">
        <f t="shared" si="57"/>
        <v>114412.4112</v>
      </c>
      <c r="I100" s="1057">
        <f t="shared" si="57"/>
        <v>94635.7304</v>
      </c>
      <c r="J100" s="1057">
        <f t="shared" si="57"/>
        <v>116581.065</v>
      </c>
      <c r="K100" s="1057">
        <f t="shared" si="57"/>
        <v>111766.30769999999</v>
      </c>
      <c r="L100" s="1057">
        <f t="shared" si="57"/>
        <v>129433.93840000001</v>
      </c>
      <c r="M100" s="1057">
        <f t="shared" si="57"/>
        <v>81373.419699999999</v>
      </c>
      <c r="N100" s="1057">
        <f t="shared" si="57"/>
        <v>99189.934699999998</v>
      </c>
      <c r="O100" s="1057">
        <f t="shared" si="57"/>
        <v>114553.63320000001</v>
      </c>
      <c r="P100" s="1057">
        <f t="shared" si="57"/>
        <v>108667.155</v>
      </c>
      <c r="R100"/>
      <c r="S100"/>
      <c r="T100"/>
      <c r="U100"/>
      <c r="V100"/>
      <c r="W100"/>
      <c r="X100"/>
      <c r="Y100"/>
      <c r="Z100"/>
      <c r="AA100"/>
      <c r="AB100"/>
      <c r="AC100"/>
      <c r="AD100"/>
      <c r="AE100"/>
      <c r="AF100"/>
    </row>
    <row r="101" spans="2:32" ht="18" hidden="1" customHeight="1" outlineLevel="1">
      <c r="B101" s="1140" t="s">
        <v>766</v>
      </c>
      <c r="C101" s="1058" t="s">
        <v>738</v>
      </c>
      <c r="D101" s="1059">
        <f>IF(SUM(E101:P101)&gt;0,SUM(E101:P101),"")</f>
        <v>923031.86470000003</v>
      </c>
      <c r="E101" s="1060">
        <f>(E74)</f>
        <v>82200.126999999993</v>
      </c>
      <c r="F101" s="1060">
        <f>(F74)</f>
        <v>69295.821599999996</v>
      </c>
      <c r="G101" s="1060">
        <f>(G74)</f>
        <v>85135.679199999999</v>
      </c>
      <c r="H101" s="1060">
        <f t="shared" ref="H101:P101" si="58">(H74)</f>
        <v>83144.828800000003</v>
      </c>
      <c r="I101" s="1060">
        <f t="shared" si="58"/>
        <v>67816.254000000001</v>
      </c>
      <c r="J101" s="1060">
        <f t="shared" si="58"/>
        <v>78047.010999999999</v>
      </c>
      <c r="K101" s="1060">
        <f t="shared" si="58"/>
        <v>83319.266299999988</v>
      </c>
      <c r="L101" s="1060">
        <f t="shared" si="58"/>
        <v>90448.790999999997</v>
      </c>
      <c r="M101" s="1060">
        <f t="shared" si="58"/>
        <v>58094.018799999998</v>
      </c>
      <c r="N101" s="1060">
        <f t="shared" si="58"/>
        <v>68221.508799999996</v>
      </c>
      <c r="O101" s="1060">
        <f t="shared" si="58"/>
        <v>79826.868799999997</v>
      </c>
      <c r="P101" s="1060">
        <f t="shared" si="58"/>
        <v>77481.689400000003</v>
      </c>
      <c r="S101"/>
      <c r="T101"/>
      <c r="U101"/>
      <c r="V101"/>
      <c r="W101"/>
      <c r="X101"/>
      <c r="Y101"/>
      <c r="Z101"/>
      <c r="AA101"/>
      <c r="AB101"/>
      <c r="AC101"/>
      <c r="AD101"/>
      <c r="AE101"/>
    </row>
    <row r="102" spans="2:32" ht="18" hidden="1" customHeight="1" outlineLevel="1">
      <c r="B102" s="1140" t="s">
        <v>766</v>
      </c>
      <c r="C102" s="1058" t="s">
        <v>740</v>
      </c>
      <c r="D102" s="1059">
        <f t="shared" ref="D102:D103" si="59">IF(SUM(E102:P102)&gt;0,SUM(E102:P102),"")</f>
        <v>378991.09583849995</v>
      </c>
      <c r="E102" s="1060">
        <f>(E86)</f>
        <v>38779.620499999997</v>
      </c>
      <c r="F102" s="1060">
        <f t="shared" ref="F102:P102" si="60">(F86)</f>
        <v>26339.09418</v>
      </c>
      <c r="G102" s="1060">
        <f t="shared" si="60"/>
        <v>29659.022758499999</v>
      </c>
      <c r="H102" s="1060">
        <f t="shared" si="60"/>
        <v>31267.582399999999</v>
      </c>
      <c r="I102" s="1060">
        <f t="shared" si="60"/>
        <v>26819.4764</v>
      </c>
      <c r="J102" s="1060">
        <f t="shared" si="60"/>
        <v>38534.054000000004</v>
      </c>
      <c r="K102" s="1060">
        <f t="shared" si="60"/>
        <v>28447.041399999998</v>
      </c>
      <c r="L102" s="1060">
        <f t="shared" si="60"/>
        <v>38985.147400000009</v>
      </c>
      <c r="M102" s="1060">
        <f t="shared" si="60"/>
        <v>23279.400900000001</v>
      </c>
      <c r="N102" s="1060">
        <f t="shared" si="60"/>
        <v>30968.425899999998</v>
      </c>
      <c r="O102" s="1060">
        <f t="shared" si="60"/>
        <v>34726.764400000007</v>
      </c>
      <c r="P102" s="1060">
        <f t="shared" si="60"/>
        <v>31185.4656</v>
      </c>
      <c r="S102"/>
      <c r="T102"/>
      <c r="U102"/>
      <c r="V102"/>
      <c r="W102"/>
      <c r="X102"/>
      <c r="Y102"/>
      <c r="Z102"/>
      <c r="AA102"/>
      <c r="AB102"/>
      <c r="AC102"/>
      <c r="AD102"/>
      <c r="AE102"/>
    </row>
    <row r="103" spans="2:32" ht="18" hidden="1" customHeight="1" outlineLevel="1">
      <c r="B103" s="1140" t="s">
        <v>766</v>
      </c>
      <c r="C103" s="1058" t="s">
        <v>741</v>
      </c>
      <c r="D103" s="1059" t="str">
        <f t="shared" si="59"/>
        <v/>
      </c>
      <c r="E103" s="1060">
        <f>(E95)</f>
        <v>0</v>
      </c>
      <c r="F103" s="1060">
        <f t="shared" ref="F103:P103" si="61">(F95)</f>
        <v>0</v>
      </c>
      <c r="G103" s="1060">
        <f t="shared" si="61"/>
        <v>0</v>
      </c>
      <c r="H103" s="1060">
        <f t="shared" si="61"/>
        <v>0</v>
      </c>
      <c r="I103" s="1060">
        <f t="shared" si="61"/>
        <v>0</v>
      </c>
      <c r="J103" s="1060">
        <f t="shared" si="61"/>
        <v>0</v>
      </c>
      <c r="K103" s="1060">
        <f t="shared" si="61"/>
        <v>0</v>
      </c>
      <c r="L103" s="1060">
        <f t="shared" si="61"/>
        <v>0</v>
      </c>
      <c r="M103" s="1060">
        <f t="shared" si="61"/>
        <v>0</v>
      </c>
      <c r="N103" s="1060">
        <f t="shared" si="61"/>
        <v>0</v>
      </c>
      <c r="O103" s="1060">
        <f t="shared" si="61"/>
        <v>0</v>
      </c>
      <c r="P103" s="1060">
        <f t="shared" si="61"/>
        <v>0</v>
      </c>
      <c r="S103"/>
      <c r="T103"/>
      <c r="U103"/>
      <c r="V103"/>
      <c r="W103"/>
      <c r="X103"/>
      <c r="Y103"/>
      <c r="Z103"/>
      <c r="AA103"/>
      <c r="AB103"/>
      <c r="AC103"/>
      <c r="AD103"/>
      <c r="AE103"/>
    </row>
    <row r="104" spans="2:32" s="1294" customFormat="1" ht="18" hidden="1" customHeight="1" collapsed="1" thickBot="1">
      <c r="B104" s="1353" t="s">
        <v>766</v>
      </c>
      <c r="C104" s="1352" t="s">
        <v>758</v>
      </c>
      <c r="D104" s="1054">
        <f>SUMPRODUCT(E104:P104,E63:P63)/SUM(E63:P63)</f>
        <v>20149.227944389422</v>
      </c>
      <c r="E104" s="1055">
        <f>IFERROR((E100/E64),"")</f>
        <v>19428.255580536374</v>
      </c>
      <c r="F104" s="1055">
        <f>IFERROR((F100/F64),"")</f>
        <v>14866.301224933934</v>
      </c>
      <c r="G104" s="1055">
        <f>IFERROR((G100/G64),"")</f>
        <v>13936.469826210998</v>
      </c>
      <c r="H104" s="1055">
        <f>IFERROR((H100/H64),"")</f>
        <v>18811.642749095688</v>
      </c>
      <c r="I104" s="1055">
        <f>IFERROR((I100/I64),"")</f>
        <v>17876.035209671325</v>
      </c>
      <c r="J104" s="1055">
        <f t="shared" ref="J104:P104" si="62">IFERROR((J100/J64),"")</f>
        <v>20317.36929243639</v>
      </c>
      <c r="K104" s="1055">
        <f t="shared" si="62"/>
        <v>25693.404068965516</v>
      </c>
      <c r="L104" s="1055">
        <f t="shared" si="62"/>
        <v>25980.316820553995</v>
      </c>
      <c r="M104" s="1055">
        <f t="shared" si="62"/>
        <v>29730.880416514432</v>
      </c>
      <c r="N104" s="1055">
        <f t="shared" si="62"/>
        <v>25277.761136595313</v>
      </c>
      <c r="O104" s="1055">
        <f t="shared" si="62"/>
        <v>24404.26783127397</v>
      </c>
      <c r="P104" s="1055">
        <f t="shared" si="62"/>
        <v>18352.838203006249</v>
      </c>
      <c r="Q104" s="1051"/>
      <c r="R104"/>
      <c r="S104"/>
      <c r="T104"/>
      <c r="U104"/>
      <c r="V104"/>
      <c r="W104"/>
      <c r="X104"/>
      <c r="Y104"/>
      <c r="Z104"/>
      <c r="AA104"/>
      <c r="AB104"/>
      <c r="AC104"/>
      <c r="AD104"/>
      <c r="AE104"/>
      <c r="AF104"/>
    </row>
    <row r="105" spans="2:32" ht="18" hidden="1" customHeight="1" outlineLevel="1" thickTop="1">
      <c r="B105" s="1140" t="s">
        <v>766</v>
      </c>
      <c r="C105" s="1074" t="s">
        <v>665</v>
      </c>
      <c r="D105" s="1080">
        <f>IFERROR(((D106-D104)/D104),"")</f>
        <v>0.24074232863901276</v>
      </c>
      <c r="E105" s="1077">
        <f>IFERROR(((E106-E104)/E104),"")</f>
        <v>0.2867856250071939</v>
      </c>
      <c r="F105" s="1077">
        <f t="shared" ref="F105:P105" si="63">IFERROR(((F106-F104)/F104),"")</f>
        <v>0.68165568702924628</v>
      </c>
      <c r="G105" s="1077">
        <f t="shared" si="63"/>
        <v>0.79385456372755758</v>
      </c>
      <c r="H105" s="1077">
        <f t="shared" si="63"/>
        <v>0.32896421293147288</v>
      </c>
      <c r="I105" s="1077">
        <f t="shared" si="63"/>
        <v>0.39852040493153956</v>
      </c>
      <c r="J105" s="1077">
        <f t="shared" si="63"/>
        <v>0.2304742626943749</v>
      </c>
      <c r="K105" s="1077">
        <f t="shared" si="63"/>
        <v>-2.6987629475031801E-2</v>
      </c>
      <c r="L105" s="1077">
        <f t="shared" si="63"/>
        <v>-3.7733058735389631E-2</v>
      </c>
      <c r="M105" s="1077">
        <f t="shared" si="63"/>
        <v>-0.15912345514956894</v>
      </c>
      <c r="N105" s="1077">
        <f t="shared" si="63"/>
        <v>-1.0988359890512223E-2</v>
      </c>
      <c r="O105" s="1077">
        <f t="shared" si="63"/>
        <v>2.441098306430655E-2</v>
      </c>
      <c r="P105" s="1077">
        <f t="shared" si="63"/>
        <v>0.36218713004863334</v>
      </c>
      <c r="Q105" s="1051"/>
      <c r="S105"/>
      <c r="T105"/>
      <c r="U105"/>
      <c r="V105"/>
      <c r="W105"/>
      <c r="X105"/>
      <c r="Y105"/>
      <c r="Z105"/>
      <c r="AA105"/>
      <c r="AB105"/>
      <c r="AC105"/>
      <c r="AD105"/>
      <c r="AE105"/>
    </row>
    <row r="106" spans="2:32" ht="18" hidden="1" customHeight="1" outlineLevel="1">
      <c r="B106" s="1140" t="s">
        <v>766</v>
      </c>
      <c r="C106" s="1082" t="s">
        <v>747</v>
      </c>
      <c r="D106" s="1081">
        <f>IF(AVERAGE(E106:P106)&gt;0,AVERAGE(E106:P106),"")</f>
        <v>25000</v>
      </c>
      <c r="E106" s="1076">
        <v>25000</v>
      </c>
      <c r="F106" s="1076">
        <v>25000</v>
      </c>
      <c r="G106" s="1076">
        <v>25000</v>
      </c>
      <c r="H106" s="1076">
        <v>25000</v>
      </c>
      <c r="I106" s="1076">
        <v>25000</v>
      </c>
      <c r="J106" s="1076">
        <v>25000</v>
      </c>
      <c r="K106" s="1076">
        <v>25000</v>
      </c>
      <c r="L106" s="1076">
        <v>25000</v>
      </c>
      <c r="M106" s="1076">
        <v>25000</v>
      </c>
      <c r="N106" s="1076">
        <v>25000</v>
      </c>
      <c r="O106" s="1076">
        <v>25000</v>
      </c>
      <c r="P106" s="1076">
        <v>25000</v>
      </c>
      <c r="Q106" s="1051"/>
      <c r="S106"/>
      <c r="T106"/>
      <c r="U106"/>
      <c r="V106"/>
      <c r="W106"/>
      <c r="X106"/>
      <c r="Y106"/>
      <c r="Z106"/>
      <c r="AA106"/>
      <c r="AB106"/>
      <c r="AC106"/>
      <c r="AD106"/>
      <c r="AE106"/>
    </row>
    <row r="107" spans="2:32" ht="18" hidden="1" customHeight="1" outlineLevel="1">
      <c r="B107" s="1140" t="s">
        <v>766</v>
      </c>
      <c r="C107" s="1075" t="s">
        <v>665</v>
      </c>
      <c r="D107" s="1083">
        <f>IFERROR(((D108-D104)/D104),"")</f>
        <v>1.0844471121135415</v>
      </c>
      <c r="E107" s="1078">
        <f>IFERROR(((E108-E104)/E104),"")</f>
        <v>1.1617998500120856</v>
      </c>
      <c r="F107" s="1078">
        <f t="shared" ref="F107:P107" si="64">IFERROR(((F108-F104)/F104),"")</f>
        <v>1.8251815542091339</v>
      </c>
      <c r="G107" s="1078">
        <f t="shared" si="64"/>
        <v>2.0136756670622971</v>
      </c>
      <c r="H107" s="1078">
        <f t="shared" si="64"/>
        <v>1.2326598777248745</v>
      </c>
      <c r="I107" s="1078">
        <f t="shared" si="64"/>
        <v>1.3495142802849864</v>
      </c>
      <c r="J107" s="1078">
        <f t="shared" si="64"/>
        <v>1.0671967613265498</v>
      </c>
      <c r="K107" s="1078">
        <f t="shared" si="64"/>
        <v>0.63466078248194657</v>
      </c>
      <c r="L107" s="1078">
        <f t="shared" si="64"/>
        <v>0.61660846132454539</v>
      </c>
      <c r="M107" s="1078">
        <f t="shared" si="64"/>
        <v>0.41267259534872419</v>
      </c>
      <c r="N107" s="1078">
        <f t="shared" si="64"/>
        <v>0.66153955538393949</v>
      </c>
      <c r="O107" s="1078">
        <f t="shared" si="64"/>
        <v>0.721010451548035</v>
      </c>
      <c r="P107" s="1078">
        <f t="shared" si="64"/>
        <v>1.2884743784817041</v>
      </c>
      <c r="Q107" s="1051"/>
      <c r="S107"/>
      <c r="T107"/>
      <c r="U107"/>
      <c r="V107"/>
      <c r="W107"/>
      <c r="X107"/>
      <c r="Y107"/>
      <c r="Z107"/>
      <c r="AA107"/>
      <c r="AB107"/>
      <c r="AC107"/>
      <c r="AD107"/>
      <c r="AE107"/>
    </row>
    <row r="108" spans="2:32" ht="18" hidden="1" customHeight="1" outlineLevel="1" thickBot="1">
      <c r="B108" s="1140" t="s">
        <v>766</v>
      </c>
      <c r="C108" s="1082" t="s">
        <v>735</v>
      </c>
      <c r="D108" s="1079">
        <f>IF(AVERAGE(E108:P108)&gt;0,AVERAGE(E108:P108),"")</f>
        <v>42000</v>
      </c>
      <c r="E108" s="1076">
        <v>42000</v>
      </c>
      <c r="F108" s="1076">
        <v>42000</v>
      </c>
      <c r="G108" s="1076">
        <v>42000</v>
      </c>
      <c r="H108" s="1076">
        <v>42000</v>
      </c>
      <c r="I108" s="1076">
        <v>42000</v>
      </c>
      <c r="J108" s="1076">
        <v>42000</v>
      </c>
      <c r="K108" s="1076">
        <v>42000</v>
      </c>
      <c r="L108" s="1076">
        <v>42000</v>
      </c>
      <c r="M108" s="1076">
        <v>42000</v>
      </c>
      <c r="N108" s="1076">
        <v>42000</v>
      </c>
      <c r="O108" s="1076">
        <v>42000</v>
      </c>
      <c r="P108" s="1076">
        <v>42000</v>
      </c>
      <c r="Q108" s="1051"/>
      <c r="S108"/>
      <c r="T108"/>
      <c r="U108"/>
      <c r="V108"/>
      <c r="W108"/>
      <c r="X108"/>
      <c r="Y108"/>
      <c r="Z108"/>
      <c r="AA108"/>
      <c r="AB108"/>
      <c r="AC108"/>
      <c r="AD108"/>
      <c r="AE108"/>
    </row>
    <row r="109" spans="2:32" ht="18" hidden="1" customHeight="1" outlineLevel="1" thickTop="1">
      <c r="B109" s="1140" t="s">
        <v>766</v>
      </c>
      <c r="C109" s="1074" t="s">
        <v>665</v>
      </c>
      <c r="D109" s="1080">
        <f>IFERROR(((D110-D104)/D104),"")</f>
        <v>0.34000171493013376</v>
      </c>
      <c r="E109" s="1077">
        <f>IFERROR(((E110-E104)/E104),"")</f>
        <v>0.38972847500776941</v>
      </c>
      <c r="F109" s="1077">
        <f t="shared" ref="F109:P109" si="65">IFERROR(((F110-F104)/F104),"")</f>
        <v>0.81618814199158607</v>
      </c>
      <c r="G109" s="1077">
        <f t="shared" si="65"/>
        <v>0.93736292882576222</v>
      </c>
      <c r="H109" s="1077">
        <f t="shared" si="65"/>
        <v>0.43528134996599066</v>
      </c>
      <c r="I109" s="1077">
        <f t="shared" si="65"/>
        <v>0.51040203732606271</v>
      </c>
      <c r="J109" s="1077">
        <f t="shared" si="65"/>
        <v>0.32891220370992491</v>
      </c>
      <c r="K109" s="1077">
        <f t="shared" si="65"/>
        <v>5.0853360166965657E-2</v>
      </c>
      <c r="L109" s="1077">
        <f t="shared" si="65"/>
        <v>3.9248296565779203E-2</v>
      </c>
      <c r="M109" s="1077">
        <f t="shared" si="65"/>
        <v>-9.1853331561534468E-2</v>
      </c>
      <c r="N109" s="1077">
        <f t="shared" si="65"/>
        <v>6.8132571318246807E-2</v>
      </c>
      <c r="O109" s="1077">
        <f t="shared" si="65"/>
        <v>0.10636386170945107</v>
      </c>
      <c r="P109" s="1077">
        <f t="shared" si="65"/>
        <v>0.47116210045252399</v>
      </c>
      <c r="Q109" s="1051"/>
      <c r="S109"/>
      <c r="T109"/>
      <c r="U109"/>
      <c r="V109"/>
      <c r="W109"/>
      <c r="X109"/>
      <c r="Y109"/>
      <c r="Z109"/>
      <c r="AA109"/>
      <c r="AB109"/>
      <c r="AC109"/>
      <c r="AD109"/>
      <c r="AE109"/>
    </row>
    <row r="110" spans="2:32" ht="18" hidden="1" customHeight="1" outlineLevel="1">
      <c r="B110" s="1140" t="s">
        <v>766</v>
      </c>
      <c r="C110" s="1082" t="s">
        <v>747</v>
      </c>
      <c r="D110" s="1081">
        <f>IF(AVERAGE(E110:P110)&gt;0,AVERAGE(E110:P110),"")</f>
        <v>27000</v>
      </c>
      <c r="E110" s="1076">
        <v>27000</v>
      </c>
      <c r="F110" s="1076">
        <v>27000</v>
      </c>
      <c r="G110" s="1076">
        <v>27000</v>
      </c>
      <c r="H110" s="1076">
        <v>27000</v>
      </c>
      <c r="I110" s="1076">
        <v>27000</v>
      </c>
      <c r="J110" s="1076">
        <v>27000</v>
      </c>
      <c r="K110" s="1076">
        <v>27000</v>
      </c>
      <c r="L110" s="1076">
        <v>27000</v>
      </c>
      <c r="M110" s="1076">
        <v>27000</v>
      </c>
      <c r="N110" s="1076">
        <v>27000</v>
      </c>
      <c r="O110" s="1076">
        <v>27000</v>
      </c>
      <c r="P110" s="1076">
        <v>27000</v>
      </c>
      <c r="Q110" s="1051"/>
      <c r="S110"/>
      <c r="T110"/>
      <c r="U110"/>
      <c r="V110"/>
      <c r="W110"/>
      <c r="X110"/>
      <c r="Y110"/>
      <c r="Z110"/>
      <c r="AA110"/>
      <c r="AB110"/>
      <c r="AC110"/>
      <c r="AD110"/>
      <c r="AE110"/>
    </row>
    <row r="111" spans="2:32" ht="18" hidden="1" customHeight="1" outlineLevel="1">
      <c r="B111" s="1140" t="s">
        <v>766</v>
      </c>
      <c r="C111" s="1075" t="s">
        <v>665</v>
      </c>
      <c r="D111" s="1083">
        <f>IFERROR(((D112-D104)/D104),"")</f>
        <v>1.1588916518318821</v>
      </c>
      <c r="E111" s="1078">
        <f>IFERROR(((E112-E104)/E104),"")</f>
        <v>1.2390069875125174</v>
      </c>
      <c r="F111" s="1078">
        <f t="shared" ref="F111:P111" si="66">IFERROR(((F112-F104)/F104),"")</f>
        <v>1.9260808954308886</v>
      </c>
      <c r="G111" s="1078">
        <f t="shared" si="66"/>
        <v>2.1213069408859502</v>
      </c>
      <c r="H111" s="1078">
        <f t="shared" si="66"/>
        <v>1.3123977305007628</v>
      </c>
      <c r="I111" s="1078">
        <f t="shared" si="66"/>
        <v>1.4334255045808788</v>
      </c>
      <c r="J111" s="1078">
        <f t="shared" si="66"/>
        <v>1.1410252170882123</v>
      </c>
      <c r="K111" s="1078">
        <f t="shared" si="66"/>
        <v>0.69304152471344471</v>
      </c>
      <c r="L111" s="1078">
        <f t="shared" si="66"/>
        <v>0.67434447780042206</v>
      </c>
      <c r="M111" s="1078">
        <f t="shared" si="66"/>
        <v>0.46312518803975</v>
      </c>
      <c r="N111" s="1078">
        <f t="shared" si="66"/>
        <v>0.72088025379050868</v>
      </c>
      <c r="O111" s="1078">
        <f t="shared" si="66"/>
        <v>0.78247511053189345</v>
      </c>
      <c r="P111" s="1078">
        <f t="shared" si="66"/>
        <v>1.370205606284622</v>
      </c>
      <c r="Q111" s="1051"/>
      <c r="S111"/>
      <c r="T111"/>
      <c r="U111"/>
      <c r="V111"/>
      <c r="W111"/>
      <c r="X111"/>
      <c r="Y111"/>
      <c r="Z111"/>
      <c r="AA111"/>
      <c r="AB111"/>
      <c r="AC111"/>
      <c r="AD111"/>
      <c r="AE111"/>
    </row>
    <row r="112" spans="2:32" ht="18" hidden="1" customHeight="1" outlineLevel="1">
      <c r="B112" s="1140" t="s">
        <v>766</v>
      </c>
      <c r="C112" s="1082" t="s">
        <v>735</v>
      </c>
      <c r="D112" s="1079">
        <f>IF(AVERAGE(E112:P112)&gt;0,AVERAGE(E112:P112),"")</f>
        <v>43500</v>
      </c>
      <c r="E112" s="1076">
        <v>43500</v>
      </c>
      <c r="F112" s="1076">
        <v>43500</v>
      </c>
      <c r="G112" s="1076">
        <v>43500</v>
      </c>
      <c r="H112" s="1076">
        <v>43500</v>
      </c>
      <c r="I112" s="1076">
        <v>43500</v>
      </c>
      <c r="J112" s="1076">
        <v>43500</v>
      </c>
      <c r="K112" s="1076">
        <v>43500</v>
      </c>
      <c r="L112" s="1076">
        <v>43500</v>
      </c>
      <c r="M112" s="1076">
        <v>43500</v>
      </c>
      <c r="N112" s="1076">
        <v>43500</v>
      </c>
      <c r="O112" s="1076">
        <v>43500</v>
      </c>
      <c r="P112" s="1076">
        <v>43500</v>
      </c>
      <c r="Q112" s="1051"/>
      <c r="S112"/>
      <c r="T112"/>
      <c r="U112"/>
      <c r="V112"/>
      <c r="W112"/>
      <c r="X112"/>
      <c r="Y112"/>
      <c r="Z112"/>
      <c r="AA112"/>
      <c r="AB112"/>
      <c r="AC112"/>
      <c r="AD112"/>
      <c r="AE112"/>
    </row>
    <row r="113" spans="2:32" ht="18" hidden="1" customHeight="1" collapsed="1">
      <c r="S113"/>
      <c r="T113"/>
      <c r="U113"/>
      <c r="V113"/>
      <c r="W113"/>
      <c r="X113"/>
      <c r="Y113"/>
      <c r="Z113"/>
      <c r="AA113"/>
      <c r="AB113"/>
      <c r="AC113"/>
      <c r="AD113"/>
      <c r="AE113"/>
    </row>
    <row r="114" spans="2:32" ht="18" customHeight="1">
      <c r="B114" s="1141" t="s">
        <v>759</v>
      </c>
      <c r="C114" s="1591" t="s">
        <v>731</v>
      </c>
      <c r="D114" s="1587">
        <f>IFERROR(SUM(D115:D118),"")</f>
        <v>24200</v>
      </c>
      <c r="E114" s="1587">
        <f>SUM(E115:E118)</f>
        <v>2660</v>
      </c>
      <c r="F114" s="1587">
        <f>SUM(F115:F118)</f>
        <v>2200</v>
      </c>
      <c r="G114" s="1587">
        <f>SUM(G115:G118)</f>
        <v>3200</v>
      </c>
      <c r="H114" s="1587">
        <f>SUM(H115:H118)</f>
        <v>2600</v>
      </c>
      <c r="I114" s="1587">
        <f t="shared" ref="I114:P114" si="67">SUM(I115:I118)</f>
        <v>1940</v>
      </c>
      <c r="J114" s="1587">
        <f t="shared" si="67"/>
        <v>3400</v>
      </c>
      <c r="K114" s="1587">
        <f t="shared" si="67"/>
        <v>1200</v>
      </c>
      <c r="L114" s="1587">
        <f t="shared" si="67"/>
        <v>1600</v>
      </c>
      <c r="M114" s="1587">
        <f t="shared" si="67"/>
        <v>1600</v>
      </c>
      <c r="N114" s="1587">
        <f t="shared" si="67"/>
        <v>1400</v>
      </c>
      <c r="O114" s="1587">
        <f t="shared" si="67"/>
        <v>1800</v>
      </c>
      <c r="P114" s="1587">
        <f t="shared" si="67"/>
        <v>600</v>
      </c>
      <c r="S114"/>
      <c r="T114"/>
      <c r="U114"/>
      <c r="V114"/>
      <c r="W114"/>
      <c r="X114"/>
      <c r="Y114"/>
      <c r="Z114"/>
      <c r="AA114"/>
      <c r="AB114"/>
      <c r="AC114"/>
      <c r="AD114"/>
      <c r="AE114"/>
    </row>
    <row r="115" spans="2:32" s="790" customFormat="1" ht="18" customHeight="1" outlineLevel="1">
      <c r="B115" s="1141" t="s">
        <v>759</v>
      </c>
      <c r="C115" s="1084" t="s">
        <v>760</v>
      </c>
      <c r="D115" s="1062">
        <f t="shared" ref="D115:D117" si="68">IFERROR(SUM(E115:P115),"")</f>
        <v>6000</v>
      </c>
      <c r="E115" s="1062">
        <v>600</v>
      </c>
      <c r="F115" s="1062">
        <v>600</v>
      </c>
      <c r="G115" s="1062">
        <v>1000</v>
      </c>
      <c r="H115" s="1062">
        <v>800</v>
      </c>
      <c r="I115" s="1062"/>
      <c r="J115" s="1062">
        <v>400</v>
      </c>
      <c r="K115" s="1062">
        <v>400</v>
      </c>
      <c r="L115" s="1062">
        <v>800</v>
      </c>
      <c r="M115" s="1062"/>
      <c r="N115" s="1062">
        <v>600</v>
      </c>
      <c r="O115" s="1062">
        <v>800</v>
      </c>
      <c r="P115" s="1062"/>
      <c r="R115"/>
      <c r="S115"/>
      <c r="T115"/>
      <c r="U115"/>
      <c r="V115"/>
      <c r="W115"/>
      <c r="X115"/>
      <c r="Y115"/>
      <c r="Z115"/>
      <c r="AA115"/>
      <c r="AB115"/>
      <c r="AC115"/>
      <c r="AD115"/>
      <c r="AE115"/>
      <c r="AF115"/>
    </row>
    <row r="116" spans="2:32" s="790" customFormat="1" ht="18" customHeight="1" outlineLevel="1">
      <c r="B116" s="1141" t="s">
        <v>759</v>
      </c>
      <c r="C116" s="1063" t="s">
        <v>761</v>
      </c>
      <c r="D116" s="1064">
        <f t="shared" si="68"/>
        <v>14200</v>
      </c>
      <c r="E116" s="1064">
        <v>1000</v>
      </c>
      <c r="F116" s="1064">
        <v>1600</v>
      </c>
      <c r="G116" s="1064">
        <v>2200</v>
      </c>
      <c r="H116" s="1064">
        <v>1800</v>
      </c>
      <c r="I116" s="1064">
        <v>1000</v>
      </c>
      <c r="J116" s="1064">
        <v>2200</v>
      </c>
      <c r="K116" s="1064">
        <v>800</v>
      </c>
      <c r="L116" s="1064">
        <v>800</v>
      </c>
      <c r="M116" s="1064">
        <v>1000</v>
      </c>
      <c r="N116" s="1064">
        <v>800</v>
      </c>
      <c r="O116" s="1064">
        <v>1000</v>
      </c>
      <c r="P116" s="1064"/>
      <c r="R116"/>
      <c r="S116"/>
      <c r="T116"/>
      <c r="U116"/>
      <c r="V116"/>
      <c r="W116"/>
      <c r="X116"/>
      <c r="Y116"/>
      <c r="Z116"/>
      <c r="AA116"/>
      <c r="AB116"/>
      <c r="AC116"/>
      <c r="AD116"/>
      <c r="AE116"/>
      <c r="AF116"/>
    </row>
    <row r="117" spans="2:32" s="790" customFormat="1" ht="18" customHeight="1" outlineLevel="1">
      <c r="B117" s="1141" t="s">
        <v>759</v>
      </c>
      <c r="C117" s="1063" t="s">
        <v>762</v>
      </c>
      <c r="D117" s="1064">
        <f t="shared" si="68"/>
        <v>2000</v>
      </c>
      <c r="E117" s="1064"/>
      <c r="F117" s="1064"/>
      <c r="G117" s="1064"/>
      <c r="H117" s="1064"/>
      <c r="I117" s="1064"/>
      <c r="J117" s="1064">
        <v>800</v>
      </c>
      <c r="K117" s="1064"/>
      <c r="L117" s="1064"/>
      <c r="M117" s="1064">
        <v>600</v>
      </c>
      <c r="N117" s="1064"/>
      <c r="O117" s="1064"/>
      <c r="P117" s="1064">
        <v>600</v>
      </c>
      <c r="R117"/>
      <c r="S117"/>
      <c r="T117"/>
      <c r="U117"/>
      <c r="V117"/>
      <c r="W117"/>
      <c r="X117"/>
      <c r="Y117"/>
      <c r="Z117"/>
      <c r="AA117"/>
      <c r="AB117"/>
      <c r="AC117"/>
      <c r="AD117"/>
      <c r="AE117"/>
      <c r="AF117"/>
    </row>
    <row r="118" spans="2:32" s="790" customFormat="1" ht="18" customHeight="1" outlineLevel="1">
      <c r="B118" s="1141" t="s">
        <v>759</v>
      </c>
      <c r="C118" s="1085" t="s">
        <v>763</v>
      </c>
      <c r="D118" s="1064">
        <f>IFERROR(SUM(E118:P118),"")</f>
        <v>2000</v>
      </c>
      <c r="E118" s="1064">
        <v>1060</v>
      </c>
      <c r="F118" s="1064"/>
      <c r="G118" s="1064"/>
      <c r="H118" s="1064"/>
      <c r="I118" s="1064">
        <v>940</v>
      </c>
      <c r="J118" s="1064"/>
      <c r="K118" s="1064"/>
      <c r="L118" s="1064"/>
      <c r="M118" s="1064"/>
      <c r="N118" s="1064"/>
      <c r="O118" s="1064"/>
      <c r="P118" s="1064"/>
      <c r="R118"/>
      <c r="S118"/>
      <c r="T118"/>
      <c r="U118"/>
      <c r="V118"/>
      <c r="W118"/>
      <c r="X118"/>
      <c r="Y118"/>
      <c r="Z118"/>
      <c r="AA118"/>
      <c r="AB118"/>
      <c r="AC118"/>
      <c r="AD118"/>
      <c r="AE118"/>
      <c r="AF118"/>
    </row>
    <row r="119" spans="2:32" ht="18" customHeight="1">
      <c r="B119" s="1141" t="s">
        <v>759</v>
      </c>
      <c r="C119" s="1590" t="s">
        <v>732</v>
      </c>
      <c r="D119" s="1584">
        <f>IFERROR((D120+D121+D122+D123+D124+D125+D127),"")</f>
        <v>22340</v>
      </c>
      <c r="E119" s="1592">
        <f>SUM(E120:E128)</f>
        <v>1300</v>
      </c>
      <c r="F119" s="1592">
        <f t="shared" ref="F119:O119" si="69">SUM(F120:F128)</f>
        <v>2000</v>
      </c>
      <c r="G119" s="1592">
        <f t="shared" si="69"/>
        <v>2180</v>
      </c>
      <c r="H119" s="1592">
        <f t="shared" si="69"/>
        <v>2140</v>
      </c>
      <c r="I119" s="1592">
        <f t="shared" si="69"/>
        <v>1940</v>
      </c>
      <c r="J119" s="1592">
        <f t="shared" si="69"/>
        <v>3420</v>
      </c>
      <c r="K119" s="1592">
        <f t="shared" si="69"/>
        <v>2200</v>
      </c>
      <c r="L119" s="1592">
        <f t="shared" si="69"/>
        <v>1520</v>
      </c>
      <c r="M119" s="1592">
        <f t="shared" si="69"/>
        <v>1520</v>
      </c>
      <c r="N119" s="1592">
        <f t="shared" si="69"/>
        <v>1260</v>
      </c>
      <c r="O119" s="1592">
        <f t="shared" si="69"/>
        <v>1100</v>
      </c>
      <c r="P119" s="1592">
        <f>SUM(P120:P125)</f>
        <v>1760</v>
      </c>
      <c r="Q119" s="1122"/>
      <c r="S119"/>
      <c r="T119"/>
      <c r="U119"/>
      <c r="V119"/>
      <c r="W119"/>
      <c r="X119"/>
      <c r="Y119"/>
      <c r="Z119"/>
      <c r="AA119"/>
      <c r="AB119"/>
      <c r="AC119"/>
      <c r="AD119"/>
      <c r="AE119"/>
    </row>
    <row r="120" spans="2:32" ht="18" customHeight="1" outlineLevel="1">
      <c r="B120" s="1141" t="s">
        <v>759</v>
      </c>
      <c r="C120" s="1084" t="s">
        <v>776</v>
      </c>
      <c r="D120" s="674">
        <f t="shared" ref="D120:D121" si="70">IFERROR(SUM(E120:P120),"")</f>
        <v>220</v>
      </c>
      <c r="E120" s="82"/>
      <c r="F120" s="82"/>
      <c r="G120" s="82"/>
      <c r="H120" s="82"/>
      <c r="I120" s="82"/>
      <c r="J120" s="82"/>
      <c r="K120" s="82"/>
      <c r="L120" s="82">
        <v>120</v>
      </c>
      <c r="M120" s="82"/>
      <c r="N120" s="82"/>
      <c r="O120" s="82">
        <v>100</v>
      </c>
      <c r="P120" s="82"/>
      <c r="Q120" s="1121">
        <f>(D120+D121)/SUM(D120:D129)</f>
        <v>0.24396782841823056</v>
      </c>
      <c r="S120"/>
      <c r="T120"/>
      <c r="U120"/>
      <c r="V120"/>
      <c r="W120"/>
      <c r="X120"/>
      <c r="Y120"/>
      <c r="Z120"/>
      <c r="AA120"/>
      <c r="AB120"/>
      <c r="AC120"/>
      <c r="AD120"/>
      <c r="AE120"/>
    </row>
    <row r="121" spans="2:32" ht="18" customHeight="1" outlineLevel="1">
      <c r="B121" s="1141" t="s">
        <v>759</v>
      </c>
      <c r="C121" s="1063" t="s">
        <v>777</v>
      </c>
      <c r="D121" s="674">
        <f t="shared" si="70"/>
        <v>5240</v>
      </c>
      <c r="E121" s="82">
        <f>300</f>
        <v>300</v>
      </c>
      <c r="F121" s="82">
        <f>400</f>
        <v>400</v>
      </c>
      <c r="G121" s="82">
        <v>780</v>
      </c>
      <c r="H121" s="82">
        <f>660</f>
        <v>660</v>
      </c>
      <c r="I121" s="82">
        <v>520</v>
      </c>
      <c r="J121" s="82">
        <v>380</v>
      </c>
      <c r="K121" s="82">
        <v>520</v>
      </c>
      <c r="L121" s="82">
        <v>180</v>
      </c>
      <c r="M121" s="82">
        <v>280</v>
      </c>
      <c r="N121" s="82">
        <v>620</v>
      </c>
      <c r="O121" s="82">
        <v>180</v>
      </c>
      <c r="P121" s="82">
        <v>420</v>
      </c>
      <c r="Q121" s="1122"/>
      <c r="S121"/>
      <c r="T121"/>
      <c r="U121"/>
      <c r="V121"/>
      <c r="W121"/>
      <c r="X121"/>
      <c r="Y121"/>
      <c r="Z121"/>
      <c r="AA121"/>
      <c r="AB121"/>
      <c r="AC121"/>
      <c r="AD121"/>
      <c r="AE121"/>
    </row>
    <row r="122" spans="2:32" ht="18" customHeight="1" outlineLevel="1">
      <c r="B122" s="1141" t="s">
        <v>759</v>
      </c>
      <c r="C122" s="1063" t="s">
        <v>778</v>
      </c>
      <c r="D122" s="1119">
        <f t="shared" ref="D122:D128" si="71">IFERROR(SUM(E122:P122),"")</f>
        <v>220</v>
      </c>
      <c r="E122" s="82"/>
      <c r="F122" s="82"/>
      <c r="G122" s="82"/>
      <c r="H122" s="82"/>
      <c r="I122" s="82"/>
      <c r="J122" s="82"/>
      <c r="K122" s="82"/>
      <c r="L122" s="82">
        <v>120</v>
      </c>
      <c r="M122" s="82"/>
      <c r="N122" s="82"/>
      <c r="O122" s="82">
        <v>100</v>
      </c>
      <c r="P122" s="82"/>
      <c r="Q122" s="1121">
        <f>(D122+D123)/SUM(D120:D129)</f>
        <v>0.62466487935656834</v>
      </c>
      <c r="S122"/>
      <c r="T122"/>
      <c r="U122"/>
      <c r="V122"/>
      <c r="W122"/>
      <c r="X122"/>
      <c r="Y122"/>
      <c r="Z122"/>
      <c r="AA122"/>
      <c r="AB122"/>
      <c r="AC122"/>
      <c r="AD122"/>
      <c r="AE122"/>
    </row>
    <row r="123" spans="2:32" ht="18" customHeight="1" outlineLevel="1">
      <c r="B123" s="1141" t="s">
        <v>759</v>
      </c>
      <c r="C123" s="1063" t="s">
        <v>779</v>
      </c>
      <c r="D123" s="1119">
        <f t="shared" si="71"/>
        <v>13760</v>
      </c>
      <c r="E123" s="82">
        <v>1000</v>
      </c>
      <c r="F123" s="82">
        <v>1600</v>
      </c>
      <c r="G123" s="82">
        <v>1400</v>
      </c>
      <c r="H123" s="82">
        <v>1480</v>
      </c>
      <c r="I123" s="82">
        <v>1420</v>
      </c>
      <c r="J123" s="82">
        <v>1340</v>
      </c>
      <c r="K123" s="82">
        <v>1200</v>
      </c>
      <c r="L123" s="82">
        <v>980</v>
      </c>
      <c r="M123" s="82">
        <v>1240</v>
      </c>
      <c r="N123" s="82">
        <v>640</v>
      </c>
      <c r="O123" s="82">
        <v>400</v>
      </c>
      <c r="P123" s="82">
        <v>1060</v>
      </c>
      <c r="Q123" s="1122"/>
      <c r="S123"/>
      <c r="T123"/>
      <c r="U123"/>
      <c r="V123"/>
      <c r="W123"/>
      <c r="X123"/>
      <c r="Y123"/>
      <c r="Z123"/>
      <c r="AA123"/>
      <c r="AB123"/>
      <c r="AC123"/>
      <c r="AD123"/>
      <c r="AE123"/>
    </row>
    <row r="124" spans="2:32" ht="18" customHeight="1" outlineLevel="1">
      <c r="B124" s="1141" t="s">
        <v>759</v>
      </c>
      <c r="C124" s="1063" t="s">
        <v>780</v>
      </c>
      <c r="D124" s="1119">
        <f t="shared" si="71"/>
        <v>220</v>
      </c>
      <c r="E124" s="82"/>
      <c r="F124" s="82"/>
      <c r="G124" s="82"/>
      <c r="H124" s="82"/>
      <c r="I124" s="82"/>
      <c r="J124" s="82"/>
      <c r="K124" s="82"/>
      <c r="L124" s="82">
        <v>120</v>
      </c>
      <c r="M124" s="82"/>
      <c r="N124" s="82"/>
      <c r="O124" s="82">
        <v>100</v>
      </c>
      <c r="P124" s="82"/>
      <c r="Q124" s="1121">
        <f>(D124+D125+D126)/SUM(D120:D129)</f>
        <v>6.3449508489722972E-2</v>
      </c>
      <c r="S124"/>
      <c r="T124"/>
      <c r="U124"/>
      <c r="V124"/>
      <c r="W124"/>
      <c r="X124"/>
      <c r="Y124"/>
      <c r="Z124"/>
      <c r="AA124"/>
      <c r="AB124"/>
      <c r="AC124"/>
      <c r="AD124"/>
      <c r="AE124"/>
    </row>
    <row r="125" spans="2:32" ht="18" customHeight="1" outlineLevel="1">
      <c r="B125" s="1141" t="s">
        <v>759</v>
      </c>
      <c r="C125" s="1063" t="s">
        <v>781</v>
      </c>
      <c r="D125" s="1119">
        <f t="shared" si="71"/>
        <v>1180</v>
      </c>
      <c r="E125" s="82"/>
      <c r="F125" s="82"/>
      <c r="G125" s="82"/>
      <c r="H125" s="82"/>
      <c r="I125" s="82"/>
      <c r="J125" s="82">
        <v>200</v>
      </c>
      <c r="K125" s="82">
        <v>480</v>
      </c>
      <c r="L125" s="82"/>
      <c r="M125" s="82"/>
      <c r="N125" s="82"/>
      <c r="O125" s="82">
        <v>220</v>
      </c>
      <c r="P125" s="82">
        <v>280</v>
      </c>
      <c r="Q125" s="1122"/>
      <c r="S125"/>
      <c r="T125"/>
      <c r="U125"/>
      <c r="V125"/>
      <c r="W125"/>
      <c r="X125"/>
      <c r="Y125"/>
      <c r="Z125"/>
      <c r="AA125"/>
      <c r="AB125"/>
      <c r="AC125"/>
      <c r="AD125"/>
      <c r="AE125"/>
    </row>
    <row r="126" spans="2:32" ht="18" customHeight="1" outlineLevel="1">
      <c r="B126" s="1141" t="s">
        <v>759</v>
      </c>
      <c r="C126" s="1063" t="s">
        <v>782</v>
      </c>
      <c r="D126" s="1119">
        <f t="shared" ref="D126" si="72">IFERROR(SUM(E126:P126),"")</f>
        <v>20</v>
      </c>
      <c r="E126" s="82"/>
      <c r="F126" s="82"/>
      <c r="G126" s="82"/>
      <c r="H126" s="82"/>
      <c r="I126" s="82"/>
      <c r="J126" s="82"/>
      <c r="K126" s="82"/>
      <c r="L126" s="82"/>
      <c r="M126" s="82"/>
      <c r="N126" s="82"/>
      <c r="O126" s="82"/>
      <c r="P126" s="82">
        <v>20</v>
      </c>
      <c r="Q126" s="1122"/>
      <c r="S126"/>
      <c r="T126"/>
      <c r="U126"/>
      <c r="V126"/>
      <c r="W126"/>
      <c r="X126"/>
      <c r="Y126"/>
      <c r="Z126"/>
      <c r="AA126"/>
      <c r="AB126"/>
      <c r="AC126"/>
      <c r="AD126"/>
      <c r="AE126"/>
    </row>
    <row r="127" spans="2:32" ht="18" customHeight="1" outlineLevel="1">
      <c r="B127" s="1141" t="s">
        <v>759</v>
      </c>
      <c r="C127" s="1063" t="s">
        <v>783</v>
      </c>
      <c r="D127" s="674">
        <f t="shared" si="71"/>
        <v>1500</v>
      </c>
      <c r="E127" s="82"/>
      <c r="F127" s="82"/>
      <c r="G127" s="82"/>
      <c r="H127" s="82"/>
      <c r="I127" s="82"/>
      <c r="J127" s="82">
        <v>1500</v>
      </c>
      <c r="K127" s="82"/>
      <c r="L127" s="82"/>
      <c r="M127" s="82"/>
      <c r="N127" s="82"/>
      <c r="O127" s="82"/>
      <c r="P127" s="82"/>
      <c r="Q127" s="1121">
        <f>(D127+D128+D129)/SUM(D120:D129)</f>
        <v>6.7917783735478104E-2</v>
      </c>
      <c r="S127"/>
      <c r="T127"/>
      <c r="U127"/>
      <c r="V127"/>
      <c r="W127"/>
      <c r="X127"/>
      <c r="Y127"/>
      <c r="Z127"/>
      <c r="AA127"/>
      <c r="AB127"/>
      <c r="AC127"/>
      <c r="AD127"/>
      <c r="AE127"/>
    </row>
    <row r="128" spans="2:32" ht="18" customHeight="1" outlineLevel="1">
      <c r="B128" s="1141" t="s">
        <v>759</v>
      </c>
      <c r="C128" s="1063" t="s">
        <v>784</v>
      </c>
      <c r="D128" s="674">
        <f t="shared" si="71"/>
        <v>0</v>
      </c>
      <c r="E128" s="82"/>
      <c r="F128" s="82"/>
      <c r="G128" s="82"/>
      <c r="H128" s="82"/>
      <c r="I128" s="82"/>
      <c r="J128" s="82"/>
      <c r="K128" s="82"/>
      <c r="L128" s="82"/>
      <c r="M128" s="82"/>
      <c r="N128" s="82"/>
      <c r="O128" s="82"/>
      <c r="P128" s="82"/>
      <c r="S128"/>
      <c r="T128"/>
      <c r="U128"/>
      <c r="V128"/>
      <c r="W128"/>
      <c r="X128"/>
      <c r="Y128"/>
      <c r="Z128"/>
      <c r="AA128"/>
      <c r="AB128"/>
      <c r="AC128"/>
      <c r="AD128"/>
      <c r="AE128"/>
    </row>
    <row r="129" spans="2:31" ht="18" customHeight="1" outlineLevel="1">
      <c r="B129" s="1141" t="s">
        <v>759</v>
      </c>
      <c r="C129" s="1063" t="s">
        <v>785</v>
      </c>
      <c r="D129" s="674">
        <f t="shared" ref="D129" si="73">IFERROR(SUM(E129:P129),"")</f>
        <v>20</v>
      </c>
      <c r="E129" s="82"/>
      <c r="F129" s="82"/>
      <c r="G129" s="82"/>
      <c r="H129" s="82"/>
      <c r="I129" s="82"/>
      <c r="J129" s="82"/>
      <c r="K129" s="82"/>
      <c r="L129" s="82"/>
      <c r="M129" s="82"/>
      <c r="N129" s="82"/>
      <c r="O129" s="82"/>
      <c r="P129" s="82">
        <v>20</v>
      </c>
      <c r="S129"/>
      <c r="T129"/>
      <c r="U129"/>
      <c r="V129"/>
      <c r="W129"/>
      <c r="X129"/>
      <c r="Y129"/>
      <c r="Z129"/>
      <c r="AA129"/>
      <c r="AB129"/>
      <c r="AC129"/>
      <c r="AD129"/>
      <c r="AE129"/>
    </row>
    <row r="130" spans="2:31" ht="18" customHeight="1" outlineLevel="1">
      <c r="B130" s="1141" t="s">
        <v>759</v>
      </c>
      <c r="C130" s="1086" t="s">
        <v>786</v>
      </c>
      <c r="D130" s="480">
        <f t="shared" ref="D130:D135" si="74">IFERROR(AVERAGE(E130:P130),"")</f>
        <v>350</v>
      </c>
      <c r="E130" s="480">
        <v>350</v>
      </c>
      <c r="F130" s="480">
        <v>350</v>
      </c>
      <c r="G130" s="480">
        <v>350</v>
      </c>
      <c r="H130" s="480">
        <v>350</v>
      </c>
      <c r="I130" s="480">
        <v>350</v>
      </c>
      <c r="J130" s="480">
        <v>350</v>
      </c>
      <c r="K130" s="480">
        <v>350</v>
      </c>
      <c r="L130" s="480">
        <v>350</v>
      </c>
      <c r="M130" s="480">
        <v>350</v>
      </c>
      <c r="N130" s="480">
        <v>350</v>
      </c>
      <c r="O130" s="480">
        <v>350</v>
      </c>
      <c r="P130" s="480">
        <v>350</v>
      </c>
      <c r="S130"/>
      <c r="T130"/>
      <c r="U130"/>
      <c r="V130"/>
      <c r="W130"/>
      <c r="X130"/>
      <c r="Y130"/>
      <c r="Z130"/>
      <c r="AA130"/>
      <c r="AB130"/>
      <c r="AC130"/>
      <c r="AD130"/>
      <c r="AE130"/>
    </row>
    <row r="131" spans="2:31" ht="18" customHeight="1" outlineLevel="1">
      <c r="B131" s="1141" t="s">
        <v>759</v>
      </c>
      <c r="C131" s="1086" t="s">
        <v>787</v>
      </c>
      <c r="D131" s="480">
        <f t="shared" si="74"/>
        <v>240</v>
      </c>
      <c r="E131" s="480">
        <v>240</v>
      </c>
      <c r="F131" s="480">
        <v>240</v>
      </c>
      <c r="G131" s="480">
        <v>240</v>
      </c>
      <c r="H131" s="480">
        <v>240</v>
      </c>
      <c r="I131" s="480">
        <v>240</v>
      </c>
      <c r="J131" s="480">
        <v>240</v>
      </c>
      <c r="K131" s="480">
        <v>240</v>
      </c>
      <c r="L131" s="480">
        <v>240</v>
      </c>
      <c r="M131" s="480">
        <v>240</v>
      </c>
      <c r="N131" s="480">
        <v>240</v>
      </c>
      <c r="O131" s="480">
        <v>240</v>
      </c>
      <c r="P131" s="480">
        <v>240</v>
      </c>
      <c r="S131"/>
      <c r="T131"/>
      <c r="U131"/>
      <c r="V131"/>
      <c r="W131"/>
      <c r="X131"/>
      <c r="Y131"/>
      <c r="Z131"/>
      <c r="AA131"/>
      <c r="AB131"/>
      <c r="AC131"/>
      <c r="AD131"/>
      <c r="AE131"/>
    </row>
    <row r="132" spans="2:31" ht="18" customHeight="1" outlineLevel="1">
      <c r="B132" s="1141" t="s">
        <v>759</v>
      </c>
      <c r="C132" s="158" t="s">
        <v>788</v>
      </c>
      <c r="D132" s="480">
        <f t="shared" si="74"/>
        <v>350</v>
      </c>
      <c r="E132" s="480">
        <v>350</v>
      </c>
      <c r="F132" s="480">
        <v>350</v>
      </c>
      <c r="G132" s="480">
        <v>350</v>
      </c>
      <c r="H132" s="480">
        <v>350</v>
      </c>
      <c r="I132" s="480">
        <v>350</v>
      </c>
      <c r="J132" s="480">
        <v>350</v>
      </c>
      <c r="K132" s="480">
        <v>350</v>
      </c>
      <c r="L132" s="480">
        <v>350</v>
      </c>
      <c r="M132" s="480">
        <v>350</v>
      </c>
      <c r="N132" s="480">
        <v>350</v>
      </c>
      <c r="O132" s="480">
        <v>350</v>
      </c>
      <c r="P132" s="480">
        <v>350</v>
      </c>
      <c r="S132"/>
      <c r="T132"/>
      <c r="U132"/>
      <c r="V132"/>
      <c r="W132"/>
      <c r="X132"/>
      <c r="Y132"/>
      <c r="Z132"/>
      <c r="AA132"/>
      <c r="AB132"/>
      <c r="AC132"/>
      <c r="AD132"/>
      <c r="AE132"/>
    </row>
    <row r="133" spans="2:31" ht="18" customHeight="1" outlineLevel="1">
      <c r="B133" s="1141" t="s">
        <v>759</v>
      </c>
      <c r="C133" s="158" t="s">
        <v>789</v>
      </c>
      <c r="D133" s="480">
        <f t="shared" si="74"/>
        <v>299</v>
      </c>
      <c r="E133" s="480">
        <v>299</v>
      </c>
      <c r="F133" s="480">
        <v>299</v>
      </c>
      <c r="G133" s="480">
        <v>299</v>
      </c>
      <c r="H133" s="480">
        <v>299</v>
      </c>
      <c r="I133" s="480">
        <v>299</v>
      </c>
      <c r="J133" s="480">
        <v>299</v>
      </c>
      <c r="K133" s="480">
        <v>299</v>
      </c>
      <c r="L133" s="480">
        <v>299</v>
      </c>
      <c r="M133" s="480">
        <v>299</v>
      </c>
      <c r="N133" s="480">
        <v>299</v>
      </c>
      <c r="O133" s="480">
        <v>299</v>
      </c>
      <c r="P133" s="480">
        <v>299</v>
      </c>
      <c r="S133"/>
      <c r="T133"/>
      <c r="U133"/>
      <c r="V133"/>
      <c r="W133"/>
      <c r="X133"/>
      <c r="Y133"/>
      <c r="Z133"/>
      <c r="AA133"/>
      <c r="AB133"/>
      <c r="AC133"/>
      <c r="AD133"/>
      <c r="AE133"/>
    </row>
    <row r="134" spans="2:31" ht="18" customHeight="1" outlineLevel="1">
      <c r="B134" s="1141" t="s">
        <v>759</v>
      </c>
      <c r="C134" s="158" t="s">
        <v>790</v>
      </c>
      <c r="D134" s="480">
        <f t="shared" si="74"/>
        <v>145</v>
      </c>
      <c r="E134" s="480">
        <v>145</v>
      </c>
      <c r="F134" s="480">
        <v>145</v>
      </c>
      <c r="G134" s="480">
        <v>145</v>
      </c>
      <c r="H134" s="480">
        <v>145</v>
      </c>
      <c r="I134" s="480">
        <v>145</v>
      </c>
      <c r="J134" s="480">
        <v>145</v>
      </c>
      <c r="K134" s="480">
        <v>145</v>
      </c>
      <c r="L134" s="480">
        <v>145</v>
      </c>
      <c r="M134" s="480">
        <v>145</v>
      </c>
      <c r="N134" s="480">
        <v>145</v>
      </c>
      <c r="O134" s="480">
        <v>145</v>
      </c>
      <c r="P134" s="480">
        <v>145</v>
      </c>
      <c r="S134"/>
      <c r="T134"/>
      <c r="U134"/>
      <c r="V134"/>
      <c r="W134"/>
      <c r="X134"/>
      <c r="Y134"/>
      <c r="Z134"/>
      <c r="AA134"/>
      <c r="AB134"/>
      <c r="AC134"/>
      <c r="AD134"/>
      <c r="AE134"/>
    </row>
    <row r="135" spans="2:31" ht="18" customHeight="1" outlineLevel="1">
      <c r="B135" s="1141" t="s">
        <v>759</v>
      </c>
      <c r="C135" s="158" t="s">
        <v>791</v>
      </c>
      <c r="D135" s="480">
        <f t="shared" si="74"/>
        <v>110</v>
      </c>
      <c r="E135" s="480">
        <v>110</v>
      </c>
      <c r="F135" s="480">
        <v>110</v>
      </c>
      <c r="G135" s="480">
        <v>110</v>
      </c>
      <c r="H135" s="480">
        <v>110</v>
      </c>
      <c r="I135" s="480">
        <v>110</v>
      </c>
      <c r="J135" s="480">
        <v>110</v>
      </c>
      <c r="K135" s="480">
        <v>110</v>
      </c>
      <c r="L135" s="480">
        <v>110</v>
      </c>
      <c r="M135" s="480">
        <v>110</v>
      </c>
      <c r="N135" s="480">
        <v>110</v>
      </c>
      <c r="O135" s="480">
        <v>110</v>
      </c>
      <c r="P135" s="480">
        <v>110</v>
      </c>
      <c r="S135"/>
      <c r="T135"/>
      <c r="U135"/>
      <c r="V135"/>
      <c r="W135"/>
      <c r="X135"/>
      <c r="Y135"/>
      <c r="Z135"/>
      <c r="AA135"/>
      <c r="AB135"/>
      <c r="AC135"/>
      <c r="AD135"/>
      <c r="AE135"/>
    </row>
    <row r="136" spans="2:31" ht="18" customHeight="1" outlineLevel="1">
      <c r="B136" s="1141" t="s">
        <v>759</v>
      </c>
      <c r="C136" s="158" t="s">
        <v>792</v>
      </c>
      <c r="D136" s="480">
        <f>IFERROR(AVERAGE(E136:P136),"")</f>
        <v>24.056603773584907</v>
      </c>
      <c r="E136" s="1090">
        <v>24.056603773584907</v>
      </c>
      <c r="F136" s="1090">
        <v>24.056603773584907</v>
      </c>
      <c r="G136" s="1090">
        <v>24.056603773584907</v>
      </c>
      <c r="H136" s="1090">
        <v>24.056603773584907</v>
      </c>
      <c r="I136" s="1090">
        <v>24.056603773584907</v>
      </c>
      <c r="J136" s="1090">
        <v>24.056603773584907</v>
      </c>
      <c r="K136" s="1090">
        <v>24.056603773584907</v>
      </c>
      <c r="L136" s="1090">
        <v>24.056603773584907</v>
      </c>
      <c r="M136" s="1090">
        <v>24.056603773584907</v>
      </c>
      <c r="N136" s="1090">
        <v>24.056603773584907</v>
      </c>
      <c r="O136" s="1090">
        <v>24.056603773584907</v>
      </c>
      <c r="P136" s="1090">
        <v>24.056603773584907</v>
      </c>
      <c r="S136"/>
      <c r="T136"/>
      <c r="U136"/>
      <c r="V136"/>
      <c r="W136"/>
      <c r="X136"/>
      <c r="Y136"/>
      <c r="Z136"/>
      <c r="AA136"/>
      <c r="AB136"/>
      <c r="AC136"/>
      <c r="AD136"/>
      <c r="AE136"/>
    </row>
    <row r="137" spans="2:31" ht="18" customHeight="1" outlineLevel="1">
      <c r="B137" s="1141" t="s">
        <v>759</v>
      </c>
      <c r="C137" s="158" t="s">
        <v>793</v>
      </c>
      <c r="D137" s="480">
        <f>IFERROR(AVERAGE(E137:P137),"")</f>
        <v>18.329999999999995</v>
      </c>
      <c r="E137" s="1090">
        <v>18.329999999999998</v>
      </c>
      <c r="F137" s="1090">
        <v>18.329999999999998</v>
      </c>
      <c r="G137" s="1090">
        <v>18.329999999999998</v>
      </c>
      <c r="H137" s="1090">
        <v>18.329999999999998</v>
      </c>
      <c r="I137" s="1090">
        <v>18.329999999999998</v>
      </c>
      <c r="J137" s="1090">
        <v>18.329999999999998</v>
      </c>
      <c r="K137" s="1090">
        <v>18.329999999999998</v>
      </c>
      <c r="L137" s="1090">
        <v>18.329999999999998</v>
      </c>
      <c r="M137" s="1090">
        <v>18.329999999999998</v>
      </c>
      <c r="N137" s="1090">
        <v>18.329999999999998</v>
      </c>
      <c r="O137" s="1090">
        <v>18.329999999999998</v>
      </c>
      <c r="P137" s="1090">
        <v>18.329999999999998</v>
      </c>
      <c r="S137"/>
      <c r="T137"/>
      <c r="U137"/>
      <c r="V137"/>
      <c r="W137"/>
      <c r="X137"/>
      <c r="Y137"/>
      <c r="Z137"/>
      <c r="AA137"/>
      <c r="AB137"/>
      <c r="AC137"/>
      <c r="AD137"/>
      <c r="AE137"/>
    </row>
    <row r="138" spans="2:31" ht="18" customHeight="1">
      <c r="B138" s="1141" t="s">
        <v>759</v>
      </c>
      <c r="C138" s="1590" t="s">
        <v>736</v>
      </c>
      <c r="D138" s="1583">
        <f>IFERROR(SUM(E138:P138),"")</f>
        <v>5723624.9056603778</v>
      </c>
      <c r="E138" s="1583">
        <f t="shared" ref="E138:P138" si="75">SUM(E139:E140)</f>
        <v>371000</v>
      </c>
      <c r="F138" s="1583">
        <f t="shared" si="75"/>
        <v>574400</v>
      </c>
      <c r="G138" s="1583">
        <f t="shared" si="75"/>
        <v>605800</v>
      </c>
      <c r="H138" s="1583">
        <f t="shared" si="75"/>
        <v>600920</v>
      </c>
      <c r="I138" s="1583">
        <f t="shared" si="75"/>
        <v>549380</v>
      </c>
      <c r="J138" s="1583">
        <f t="shared" si="75"/>
        <v>549944.90566037735</v>
      </c>
      <c r="K138" s="1583">
        <f t="shared" si="75"/>
        <v>536400</v>
      </c>
      <c r="L138" s="1583">
        <f t="shared" si="75"/>
        <v>437620</v>
      </c>
      <c r="M138" s="1583">
        <f t="shared" si="75"/>
        <v>437960</v>
      </c>
      <c r="N138" s="1583">
        <f t="shared" si="75"/>
        <v>340160</v>
      </c>
      <c r="O138" s="1583">
        <f t="shared" si="75"/>
        <v>271500</v>
      </c>
      <c r="P138" s="1583">
        <f t="shared" si="75"/>
        <v>448540</v>
      </c>
      <c r="S138"/>
      <c r="T138"/>
      <c r="U138"/>
      <c r="V138"/>
      <c r="W138"/>
      <c r="X138"/>
      <c r="Y138"/>
      <c r="Z138"/>
      <c r="AA138"/>
      <c r="AB138"/>
      <c r="AC138"/>
      <c r="AD138"/>
      <c r="AE138"/>
    </row>
    <row r="139" spans="2:31" ht="18" customHeight="1" outlineLevel="1">
      <c r="B139" s="1141" t="s">
        <v>759</v>
      </c>
      <c r="C139" s="158" t="s">
        <v>733</v>
      </c>
      <c r="D139" s="1037">
        <f t="shared" ref="D139:D147" si="76">IF(SUM(E139:P139)&gt;0,SUM(E139:P139),"")</f>
        <v>221984.90566037735</v>
      </c>
      <c r="E139" s="1037">
        <f>(E120*E130+E122*E132+E124*E134+E127*E136)</f>
        <v>0</v>
      </c>
      <c r="F139" s="1037">
        <f t="shared" ref="F139:P140" si="77">(F120*F130+F122*F132+F124*F134+F127*F136)</f>
        <v>0</v>
      </c>
      <c r="G139" s="1037">
        <f t="shared" si="77"/>
        <v>0</v>
      </c>
      <c r="H139" s="1037">
        <f t="shared" si="77"/>
        <v>0</v>
      </c>
      <c r="I139" s="1037">
        <f t="shared" si="77"/>
        <v>0</v>
      </c>
      <c r="J139" s="1037">
        <f t="shared" si="77"/>
        <v>36084.905660377364</v>
      </c>
      <c r="K139" s="1037">
        <f t="shared" si="77"/>
        <v>0</v>
      </c>
      <c r="L139" s="1037">
        <f t="shared" si="77"/>
        <v>101400</v>
      </c>
      <c r="M139" s="1037">
        <f t="shared" si="77"/>
        <v>0</v>
      </c>
      <c r="N139" s="1037">
        <f t="shared" si="77"/>
        <v>0</v>
      </c>
      <c r="O139" s="1037">
        <f t="shared" si="77"/>
        <v>84500</v>
      </c>
      <c r="P139" s="1037">
        <f t="shared" si="77"/>
        <v>0</v>
      </c>
      <c r="S139"/>
      <c r="T139"/>
      <c r="U139"/>
      <c r="V139"/>
      <c r="W139"/>
      <c r="X139"/>
      <c r="Y139"/>
      <c r="Z139"/>
      <c r="AA139"/>
      <c r="AB139"/>
      <c r="AC139"/>
      <c r="AD139"/>
      <c r="AE139"/>
    </row>
    <row r="140" spans="2:31" ht="18" customHeight="1" outlineLevel="1">
      <c r="B140" s="1141" t="s">
        <v>759</v>
      </c>
      <c r="C140" s="158" t="s">
        <v>737</v>
      </c>
      <c r="D140" s="1037">
        <f t="shared" si="76"/>
        <v>5501640</v>
      </c>
      <c r="E140" s="1037">
        <f>(E121*E131+E123*E133+E125*E135+E128*E137)</f>
        <v>371000</v>
      </c>
      <c r="F140" s="1037">
        <f>(F121*F131+F123*F133+F125*F135+F128*F137)</f>
        <v>574400</v>
      </c>
      <c r="G140" s="1037">
        <f>(G121*G131+G123*G133+G125*G135+G128*G137)</f>
        <v>605800</v>
      </c>
      <c r="H140" s="1037">
        <f t="shared" si="77"/>
        <v>600920</v>
      </c>
      <c r="I140" s="1037">
        <f t="shared" si="77"/>
        <v>549380</v>
      </c>
      <c r="J140" s="1037">
        <f t="shared" si="77"/>
        <v>513860</v>
      </c>
      <c r="K140" s="1037">
        <f t="shared" si="77"/>
        <v>536400</v>
      </c>
      <c r="L140" s="1037">
        <f t="shared" si="77"/>
        <v>336220</v>
      </c>
      <c r="M140" s="1037">
        <f t="shared" si="77"/>
        <v>437960</v>
      </c>
      <c r="N140" s="1037">
        <f t="shared" si="77"/>
        <v>340160</v>
      </c>
      <c r="O140" s="1037">
        <f t="shared" si="77"/>
        <v>187000</v>
      </c>
      <c r="P140" s="1037">
        <f t="shared" si="77"/>
        <v>448540</v>
      </c>
      <c r="S140"/>
      <c r="T140"/>
      <c r="U140"/>
      <c r="V140"/>
      <c r="W140"/>
      <c r="X140"/>
      <c r="Y140"/>
      <c r="Z140"/>
      <c r="AA140"/>
      <c r="AB140"/>
      <c r="AC140"/>
      <c r="AD140"/>
      <c r="AE140"/>
    </row>
    <row r="141" spans="2:31" ht="18" customHeight="1" outlineLevel="1">
      <c r="B141" s="1141" t="s">
        <v>759</v>
      </c>
      <c r="C141" s="158" t="s">
        <v>768</v>
      </c>
      <c r="D141" s="1037">
        <f t="shared" si="76"/>
        <v>77000</v>
      </c>
      <c r="E141" s="1037">
        <f t="shared" ref="E141:P146" si="78">(E120*E130)</f>
        <v>0</v>
      </c>
      <c r="F141" s="1037">
        <f t="shared" si="78"/>
        <v>0</v>
      </c>
      <c r="G141" s="1037">
        <f t="shared" si="78"/>
        <v>0</v>
      </c>
      <c r="H141" s="1037">
        <f t="shared" si="78"/>
        <v>0</v>
      </c>
      <c r="I141" s="1037">
        <f t="shared" si="78"/>
        <v>0</v>
      </c>
      <c r="J141" s="1037">
        <f t="shared" si="78"/>
        <v>0</v>
      </c>
      <c r="K141" s="1037">
        <f t="shared" si="78"/>
        <v>0</v>
      </c>
      <c r="L141" s="1037">
        <f t="shared" si="78"/>
        <v>42000</v>
      </c>
      <c r="M141" s="1037">
        <f t="shared" si="78"/>
        <v>0</v>
      </c>
      <c r="N141" s="1037">
        <f t="shared" si="78"/>
        <v>0</v>
      </c>
      <c r="O141" s="1037">
        <f t="shared" si="78"/>
        <v>35000</v>
      </c>
      <c r="P141" s="1037">
        <f t="shared" si="78"/>
        <v>0</v>
      </c>
      <c r="S141"/>
      <c r="T141"/>
      <c r="U141"/>
      <c r="V141"/>
      <c r="W141"/>
      <c r="X141"/>
      <c r="Y141"/>
      <c r="Z141"/>
      <c r="AA141"/>
      <c r="AB141"/>
      <c r="AC141"/>
      <c r="AD141"/>
      <c r="AE141"/>
    </row>
    <row r="142" spans="2:31" ht="18" customHeight="1" outlineLevel="1">
      <c r="B142" s="1141" t="s">
        <v>759</v>
      </c>
      <c r="C142" s="158" t="s">
        <v>769</v>
      </c>
      <c r="D142" s="1037">
        <f t="shared" si="76"/>
        <v>1257600</v>
      </c>
      <c r="E142" s="1037">
        <f t="shared" si="78"/>
        <v>72000</v>
      </c>
      <c r="F142" s="1037">
        <f t="shared" si="78"/>
        <v>96000</v>
      </c>
      <c r="G142" s="1037">
        <f t="shared" si="78"/>
        <v>187200</v>
      </c>
      <c r="H142" s="1037">
        <f t="shared" si="78"/>
        <v>158400</v>
      </c>
      <c r="I142" s="1037">
        <f t="shared" si="78"/>
        <v>124800</v>
      </c>
      <c r="J142" s="1037">
        <f t="shared" si="78"/>
        <v>91200</v>
      </c>
      <c r="K142" s="1037">
        <f t="shared" si="78"/>
        <v>124800</v>
      </c>
      <c r="L142" s="1037">
        <f t="shared" si="78"/>
        <v>43200</v>
      </c>
      <c r="M142" s="1037">
        <f t="shared" si="78"/>
        <v>67200</v>
      </c>
      <c r="N142" s="1037">
        <f t="shared" si="78"/>
        <v>148800</v>
      </c>
      <c r="O142" s="1037">
        <f t="shared" si="78"/>
        <v>43200</v>
      </c>
      <c r="P142" s="1037">
        <f t="shared" si="78"/>
        <v>100800</v>
      </c>
      <c r="S142"/>
      <c r="T142"/>
      <c r="U142"/>
      <c r="V142"/>
      <c r="W142"/>
      <c r="X142"/>
      <c r="Y142"/>
      <c r="Z142"/>
      <c r="AA142"/>
      <c r="AB142"/>
      <c r="AC142"/>
      <c r="AD142"/>
      <c r="AE142"/>
    </row>
    <row r="143" spans="2:31" ht="18" customHeight="1" outlineLevel="1">
      <c r="B143" s="1141" t="s">
        <v>759</v>
      </c>
      <c r="C143" s="158" t="s">
        <v>770</v>
      </c>
      <c r="D143" s="1037">
        <f t="shared" ref="D143:D146" si="79">IF(SUM(E143:P143)&gt;0,SUM(E143:P143),"")</f>
        <v>77000</v>
      </c>
      <c r="E143" s="1037">
        <f t="shared" si="78"/>
        <v>0</v>
      </c>
      <c r="F143" s="1037">
        <f t="shared" si="78"/>
        <v>0</v>
      </c>
      <c r="G143" s="1037">
        <f t="shared" si="78"/>
        <v>0</v>
      </c>
      <c r="H143" s="1037">
        <f t="shared" si="78"/>
        <v>0</v>
      </c>
      <c r="I143" s="1037">
        <f t="shared" si="78"/>
        <v>0</v>
      </c>
      <c r="J143" s="1037">
        <f t="shared" si="78"/>
        <v>0</v>
      </c>
      <c r="K143" s="1037">
        <f t="shared" si="78"/>
        <v>0</v>
      </c>
      <c r="L143" s="1037">
        <f t="shared" si="78"/>
        <v>42000</v>
      </c>
      <c r="M143" s="1037">
        <f t="shared" si="78"/>
        <v>0</v>
      </c>
      <c r="N143" s="1037">
        <f t="shared" si="78"/>
        <v>0</v>
      </c>
      <c r="O143" s="1037">
        <f t="shared" si="78"/>
        <v>35000</v>
      </c>
      <c r="P143" s="1037">
        <f t="shared" si="78"/>
        <v>0</v>
      </c>
      <c r="S143"/>
      <c r="T143"/>
      <c r="U143"/>
      <c r="V143"/>
      <c r="W143"/>
      <c r="X143"/>
      <c r="Y143"/>
      <c r="Z143"/>
      <c r="AA143"/>
      <c r="AB143"/>
      <c r="AC143"/>
      <c r="AD143"/>
      <c r="AE143"/>
    </row>
    <row r="144" spans="2:31" ht="18" customHeight="1" outlineLevel="1">
      <c r="B144" s="1141" t="s">
        <v>759</v>
      </c>
      <c r="C144" s="158" t="s">
        <v>771</v>
      </c>
      <c r="D144" s="1037">
        <f t="shared" si="79"/>
        <v>4114240</v>
      </c>
      <c r="E144" s="1037">
        <f t="shared" si="78"/>
        <v>299000</v>
      </c>
      <c r="F144" s="1037">
        <f t="shared" si="78"/>
        <v>478400</v>
      </c>
      <c r="G144" s="1037">
        <f t="shared" si="78"/>
        <v>418600</v>
      </c>
      <c r="H144" s="1037">
        <f t="shared" si="78"/>
        <v>442520</v>
      </c>
      <c r="I144" s="1037">
        <f t="shared" si="78"/>
        <v>424580</v>
      </c>
      <c r="J144" s="1037">
        <f t="shared" si="78"/>
        <v>400660</v>
      </c>
      <c r="K144" s="1037">
        <f t="shared" si="78"/>
        <v>358800</v>
      </c>
      <c r="L144" s="1037">
        <f t="shared" si="78"/>
        <v>293020</v>
      </c>
      <c r="M144" s="1037">
        <f t="shared" si="78"/>
        <v>370760</v>
      </c>
      <c r="N144" s="1037">
        <f t="shared" si="78"/>
        <v>191360</v>
      </c>
      <c r="O144" s="1037">
        <f t="shared" si="78"/>
        <v>119600</v>
      </c>
      <c r="P144" s="1037">
        <f t="shared" si="78"/>
        <v>316940</v>
      </c>
      <c r="S144"/>
      <c r="T144"/>
      <c r="U144"/>
      <c r="V144"/>
      <c r="W144"/>
      <c r="X144"/>
      <c r="Y144"/>
      <c r="Z144"/>
      <c r="AA144"/>
      <c r="AB144"/>
      <c r="AC144"/>
      <c r="AD144"/>
      <c r="AE144"/>
    </row>
    <row r="145" spans="2:31" ht="18" customHeight="1" outlineLevel="1">
      <c r="B145" s="1141" t="s">
        <v>759</v>
      </c>
      <c r="C145" s="158" t="s">
        <v>772</v>
      </c>
      <c r="D145" s="1037">
        <f t="shared" si="79"/>
        <v>31900</v>
      </c>
      <c r="E145" s="1037">
        <f t="shared" si="78"/>
        <v>0</v>
      </c>
      <c r="F145" s="1037">
        <f t="shared" si="78"/>
        <v>0</v>
      </c>
      <c r="G145" s="1037">
        <f t="shared" si="78"/>
        <v>0</v>
      </c>
      <c r="H145" s="1037">
        <f t="shared" si="78"/>
        <v>0</v>
      </c>
      <c r="I145" s="1037">
        <f t="shared" si="78"/>
        <v>0</v>
      </c>
      <c r="J145" s="1037">
        <f t="shared" si="78"/>
        <v>0</v>
      </c>
      <c r="K145" s="1037">
        <f t="shared" si="78"/>
        <v>0</v>
      </c>
      <c r="L145" s="1037">
        <f t="shared" si="78"/>
        <v>17400</v>
      </c>
      <c r="M145" s="1037">
        <f t="shared" si="78"/>
        <v>0</v>
      </c>
      <c r="N145" s="1037">
        <f t="shared" si="78"/>
        <v>0</v>
      </c>
      <c r="O145" s="1037">
        <f t="shared" si="78"/>
        <v>14500</v>
      </c>
      <c r="P145" s="1037">
        <f>(P124*P134)</f>
        <v>0</v>
      </c>
      <c r="S145"/>
      <c r="T145"/>
      <c r="U145"/>
      <c r="V145"/>
      <c r="W145"/>
      <c r="X145"/>
      <c r="Y145"/>
      <c r="Z145"/>
      <c r="AA145"/>
      <c r="AB145"/>
      <c r="AC145"/>
      <c r="AD145"/>
      <c r="AE145"/>
    </row>
    <row r="146" spans="2:31" ht="18" customHeight="1" outlineLevel="1">
      <c r="B146" s="1141" t="s">
        <v>759</v>
      </c>
      <c r="C146" s="158" t="s">
        <v>773</v>
      </c>
      <c r="D146" s="1037">
        <f t="shared" si="79"/>
        <v>129800</v>
      </c>
      <c r="E146" s="1037">
        <f t="shared" si="78"/>
        <v>0</v>
      </c>
      <c r="F146" s="1037">
        <f t="shared" si="78"/>
        <v>0</v>
      </c>
      <c r="G146" s="1037">
        <f t="shared" si="78"/>
        <v>0</v>
      </c>
      <c r="H146" s="1037">
        <f t="shared" si="78"/>
        <v>0</v>
      </c>
      <c r="I146" s="1037">
        <f t="shared" si="78"/>
        <v>0</v>
      </c>
      <c r="J146" s="1037">
        <f t="shared" si="78"/>
        <v>22000</v>
      </c>
      <c r="K146" s="1037">
        <f t="shared" si="78"/>
        <v>52800</v>
      </c>
      <c r="L146" s="1037">
        <f t="shared" si="78"/>
        <v>0</v>
      </c>
      <c r="M146" s="1037">
        <f t="shared" si="78"/>
        <v>0</v>
      </c>
      <c r="N146" s="1037">
        <f t="shared" si="78"/>
        <v>0</v>
      </c>
      <c r="O146" s="1037">
        <f t="shared" si="78"/>
        <v>24200</v>
      </c>
      <c r="P146" s="1037">
        <f>(P125*P135)</f>
        <v>30800</v>
      </c>
      <c r="S146"/>
      <c r="T146"/>
      <c r="U146"/>
      <c r="V146"/>
      <c r="W146"/>
      <c r="X146"/>
      <c r="Y146"/>
      <c r="Z146"/>
      <c r="AA146"/>
      <c r="AB146"/>
      <c r="AC146"/>
      <c r="AD146"/>
      <c r="AE146"/>
    </row>
    <row r="147" spans="2:31" ht="18" customHeight="1" outlineLevel="1">
      <c r="B147" s="1141" t="s">
        <v>759</v>
      </c>
      <c r="C147" s="158" t="s">
        <v>774</v>
      </c>
      <c r="D147" s="1037">
        <f t="shared" si="76"/>
        <v>36084.905660377364</v>
      </c>
      <c r="E147" s="1037">
        <f>(E127*E136)</f>
        <v>0</v>
      </c>
      <c r="F147" s="1037">
        <f t="shared" ref="F147:P148" si="80">(F127*F136)</f>
        <v>0</v>
      </c>
      <c r="G147" s="1037">
        <f t="shared" si="80"/>
        <v>0</v>
      </c>
      <c r="H147" s="1037">
        <f t="shared" si="80"/>
        <v>0</v>
      </c>
      <c r="I147" s="1037">
        <f t="shared" si="80"/>
        <v>0</v>
      </c>
      <c r="J147" s="1037">
        <f t="shared" si="80"/>
        <v>36084.905660377364</v>
      </c>
      <c r="K147" s="1037">
        <f t="shared" si="80"/>
        <v>0</v>
      </c>
      <c r="L147" s="1037">
        <f t="shared" si="80"/>
        <v>0</v>
      </c>
      <c r="M147" s="1037">
        <f t="shared" si="80"/>
        <v>0</v>
      </c>
      <c r="N147" s="1037">
        <f t="shared" si="80"/>
        <v>0</v>
      </c>
      <c r="O147" s="1037">
        <f t="shared" si="80"/>
        <v>0</v>
      </c>
      <c r="P147" s="1037">
        <f t="shared" si="80"/>
        <v>0</v>
      </c>
      <c r="S147"/>
      <c r="T147"/>
      <c r="U147"/>
      <c r="V147"/>
      <c r="W147"/>
      <c r="X147"/>
      <c r="Y147"/>
      <c r="Z147"/>
      <c r="AA147"/>
      <c r="AB147"/>
      <c r="AC147"/>
      <c r="AD147"/>
      <c r="AE147"/>
    </row>
    <row r="148" spans="2:31" ht="18" customHeight="1" outlineLevel="1">
      <c r="B148" s="1141" t="s">
        <v>759</v>
      </c>
      <c r="C148" s="158" t="s">
        <v>775</v>
      </c>
      <c r="D148" s="1037" t="str">
        <f t="shared" ref="D148" si="81">IF(SUM(E148:P148)&gt;0,SUM(E148:P148),"")</f>
        <v/>
      </c>
      <c r="E148" s="1037">
        <f>(E128*E137)</f>
        <v>0</v>
      </c>
      <c r="F148" s="1037">
        <f t="shared" si="80"/>
        <v>0</v>
      </c>
      <c r="G148" s="1037">
        <f t="shared" si="80"/>
        <v>0</v>
      </c>
      <c r="H148" s="1037">
        <f t="shared" si="80"/>
        <v>0</v>
      </c>
      <c r="I148" s="1037">
        <f t="shared" si="80"/>
        <v>0</v>
      </c>
      <c r="J148" s="1037">
        <f t="shared" si="80"/>
        <v>0</v>
      </c>
      <c r="K148" s="1037">
        <f t="shared" si="80"/>
        <v>0</v>
      </c>
      <c r="L148" s="1037">
        <f t="shared" si="80"/>
        <v>0</v>
      </c>
      <c r="M148" s="1037">
        <f t="shared" si="80"/>
        <v>0</v>
      </c>
      <c r="N148" s="1037">
        <f t="shared" si="80"/>
        <v>0</v>
      </c>
      <c r="O148" s="1037">
        <f t="shared" si="80"/>
        <v>0</v>
      </c>
      <c r="P148" s="1037">
        <f t="shared" si="80"/>
        <v>0</v>
      </c>
      <c r="S148"/>
      <c r="T148"/>
      <c r="U148"/>
      <c r="V148"/>
      <c r="W148"/>
      <c r="X148"/>
      <c r="Y148"/>
      <c r="Z148"/>
      <c r="AA148"/>
      <c r="AB148"/>
      <c r="AC148"/>
      <c r="AD148"/>
      <c r="AE148"/>
    </row>
    <row r="149" spans="2:31" ht="18" customHeight="1">
      <c r="B149" s="1141" t="s">
        <v>759</v>
      </c>
      <c r="C149" s="1590" t="s">
        <v>738</v>
      </c>
      <c r="D149" s="1593">
        <f>IFERROR(SUM(E149:P149),"")</f>
        <v>4010063.0278684217</v>
      </c>
      <c r="E149" s="1593">
        <f t="shared" ref="E149:P149" si="82">SUM(E150:E156)</f>
        <v>358744.06182320381</v>
      </c>
      <c r="F149" s="1593">
        <f t="shared" si="82"/>
        <v>478619.6116266594</v>
      </c>
      <c r="G149" s="1593">
        <f t="shared" si="82"/>
        <v>492870.57285367284</v>
      </c>
      <c r="H149" s="1593">
        <f t="shared" si="82"/>
        <v>484347.28583570104</v>
      </c>
      <c r="I149" s="1593">
        <f t="shared" si="82"/>
        <v>359425.55829511891</v>
      </c>
      <c r="J149" s="1593">
        <f t="shared" si="82"/>
        <v>398429.87552199641</v>
      </c>
      <c r="K149" s="1593">
        <f t="shared" si="82"/>
        <v>391925.63070750952</v>
      </c>
      <c r="L149" s="1593">
        <f t="shared" si="82"/>
        <v>231822.79181150201</v>
      </c>
      <c r="M149" s="1593">
        <f t="shared" si="82"/>
        <v>206313.37029726454</v>
      </c>
      <c r="N149" s="1593">
        <f t="shared" si="82"/>
        <v>190033.57989486225</v>
      </c>
      <c r="O149" s="1593">
        <f t="shared" si="82"/>
        <v>139124.50911288813</v>
      </c>
      <c r="P149" s="1593">
        <f t="shared" si="82"/>
        <v>278406.18008804321</v>
      </c>
      <c r="S149"/>
      <c r="T149"/>
      <c r="U149"/>
      <c r="V149"/>
      <c r="W149"/>
      <c r="X149"/>
      <c r="Y149"/>
      <c r="Z149"/>
      <c r="AA149"/>
      <c r="AB149"/>
      <c r="AC149"/>
      <c r="AD149"/>
      <c r="AE149"/>
    </row>
    <row r="150" spans="2:31" ht="18" customHeight="1" outlineLevel="1">
      <c r="B150" s="1141" t="s">
        <v>759</v>
      </c>
      <c r="C150" s="1110" t="s">
        <v>767</v>
      </c>
      <c r="D150" s="1041">
        <f>IF(SUM(E150:P150)&gt;0,SUM(E150:P150),"")</f>
        <v>3768942.6711084219</v>
      </c>
      <c r="E150" s="1038">
        <v>278863.56602320378</v>
      </c>
      <c r="F150" s="1038">
        <v>431463.84242665942</v>
      </c>
      <c r="G150" s="1038">
        <v>453515.62265367282</v>
      </c>
      <c r="H150" s="1038">
        <v>449832.33807570103</v>
      </c>
      <c r="I150" s="1038">
        <v>319211.36449511885</v>
      </c>
      <c r="J150" s="1038">
        <v>398429.87552199641</v>
      </c>
      <c r="K150" s="1038">
        <v>391925.63070750952</v>
      </c>
      <c r="L150" s="1038">
        <v>231822.79181150201</v>
      </c>
      <c r="M150" s="1038">
        <v>206313.37029726454</v>
      </c>
      <c r="N150" s="1038">
        <v>190033.57989486225</v>
      </c>
      <c r="O150" s="1038">
        <v>139124.50911288813</v>
      </c>
      <c r="P150" s="1038">
        <v>278406.18008804321</v>
      </c>
      <c r="S150"/>
      <c r="T150"/>
      <c r="U150"/>
      <c r="V150"/>
      <c r="W150"/>
      <c r="X150"/>
      <c r="Y150"/>
      <c r="Z150"/>
      <c r="AA150"/>
      <c r="AB150"/>
      <c r="AC150"/>
      <c r="AD150"/>
      <c r="AE150"/>
    </row>
    <row r="151" spans="2:31" ht="18" customHeight="1" outlineLevel="1">
      <c r="B151" s="1141" t="s">
        <v>759</v>
      </c>
      <c r="C151" s="1603" t="s">
        <v>726</v>
      </c>
      <c r="D151" s="1041">
        <f t="shared" ref="D151:D156" si="83">IF(SUM(E151:P151)&gt;0,SUM(E151:P151),"")</f>
        <v>46872.3</v>
      </c>
      <c r="E151" s="1038">
        <f>(3770.05+40368)</f>
        <v>44138.05</v>
      </c>
      <c r="F151" s="1038">
        <f>2648.33</f>
        <v>2648.33</v>
      </c>
      <c r="G151" s="1038">
        <f>85.92</f>
        <v>85.92</v>
      </c>
      <c r="H151" s="1038"/>
      <c r="I151" s="1036"/>
      <c r="J151" s="1038"/>
      <c r="K151" s="1038"/>
      <c r="L151" s="1038"/>
      <c r="M151" s="1038"/>
      <c r="N151" s="1038"/>
      <c r="O151" s="1038"/>
      <c r="P151" s="1038"/>
      <c r="S151"/>
      <c r="T151"/>
      <c r="U151"/>
      <c r="V151"/>
      <c r="W151"/>
      <c r="X151"/>
      <c r="Y151"/>
      <c r="Z151"/>
      <c r="AA151"/>
      <c r="AB151"/>
      <c r="AC151"/>
      <c r="AD151"/>
      <c r="AE151"/>
    </row>
    <row r="152" spans="2:31" ht="18" customHeight="1" outlineLevel="1">
      <c r="B152" s="1141" t="s">
        <v>759</v>
      </c>
      <c r="C152" s="1602" t="s">
        <v>717</v>
      </c>
      <c r="D152" s="1041">
        <f>IF(SUM(E152:P152)&gt;0,SUM(E152:P152),"")</f>
        <v>3702.8221599999997</v>
      </c>
      <c r="E152" s="1037"/>
      <c r="F152" s="1037"/>
      <c r="G152" s="1037"/>
      <c r="H152" s="1037">
        <v>3702.8221599999997</v>
      </c>
      <c r="I152" s="1037"/>
      <c r="J152" s="1037"/>
      <c r="K152" s="1038"/>
      <c r="L152" s="1038"/>
      <c r="M152" s="1038"/>
      <c r="N152" s="1038"/>
      <c r="O152" s="1038"/>
      <c r="P152" s="1038"/>
      <c r="S152"/>
      <c r="T152"/>
      <c r="U152"/>
      <c r="V152"/>
      <c r="W152"/>
      <c r="X152"/>
      <c r="Y152"/>
      <c r="Z152"/>
      <c r="AA152"/>
      <c r="AB152"/>
      <c r="AC152"/>
      <c r="AD152"/>
      <c r="AE152"/>
    </row>
    <row r="153" spans="2:31" ht="18" customHeight="1" outlineLevel="1">
      <c r="B153" s="1141"/>
      <c r="C153" s="1604" t="s">
        <v>1008</v>
      </c>
      <c r="D153" s="1041">
        <f>IF(SUM(E153:P153)&gt;0,SUM(E153:P153),"")</f>
        <v>12279.18</v>
      </c>
      <c r="E153" s="1037">
        <v>1986.27</v>
      </c>
      <c r="F153" s="1037"/>
      <c r="G153" s="1037">
        <v>65.959999999999994</v>
      </c>
      <c r="H153" s="1037"/>
      <c r="I153" s="1037">
        <f>9604.95+622</f>
        <v>10226.950000000001</v>
      </c>
      <c r="J153" s="1037"/>
      <c r="K153" s="1038"/>
      <c r="L153" s="1038"/>
      <c r="M153" s="1038"/>
      <c r="N153" s="1038"/>
      <c r="O153" s="1038"/>
      <c r="P153" s="1038"/>
      <c r="S153"/>
      <c r="T153"/>
      <c r="U153"/>
      <c r="V153"/>
      <c r="W153"/>
      <c r="X153"/>
      <c r="Y153"/>
      <c r="Z153"/>
      <c r="AA153"/>
      <c r="AB153"/>
      <c r="AC153"/>
      <c r="AD153"/>
      <c r="AE153"/>
    </row>
    <row r="154" spans="2:31" ht="18" customHeight="1" outlineLevel="1">
      <c r="B154" s="1141"/>
      <c r="C154" s="1604" t="s">
        <v>721</v>
      </c>
      <c r="D154" s="1041">
        <f>IF(SUM(E154:P154)&gt;0,SUM(E154:P154),"")</f>
        <v>19737.37</v>
      </c>
      <c r="E154" s="1037"/>
      <c r="F154" s="1037">
        <v>15294.8</v>
      </c>
      <c r="G154" s="1037">
        <v>3633.12</v>
      </c>
      <c r="H154" s="1037"/>
      <c r="I154" s="1037">
        <v>809.44999999999993</v>
      </c>
      <c r="J154" s="1037"/>
      <c r="K154" s="1038"/>
      <c r="L154" s="1038"/>
      <c r="M154" s="1038"/>
      <c r="N154" s="1038"/>
      <c r="O154" s="1038"/>
      <c r="P154" s="1038"/>
      <c r="S154"/>
      <c r="T154"/>
      <c r="U154"/>
      <c r="V154"/>
      <c r="W154"/>
      <c r="X154"/>
      <c r="Y154"/>
      <c r="Z154"/>
      <c r="AA154"/>
      <c r="AB154"/>
      <c r="AC154"/>
      <c r="AD154"/>
      <c r="AE154"/>
    </row>
    <row r="155" spans="2:31" ht="18" customHeight="1" outlineLevel="1">
      <c r="B155" s="1141" t="s">
        <v>759</v>
      </c>
      <c r="C155" s="1110" t="s">
        <v>718</v>
      </c>
      <c r="D155" s="1041">
        <f t="shared" si="83"/>
        <v>136258.97459999999</v>
      </c>
      <c r="E155" s="1038">
        <v>33756.175799999997</v>
      </c>
      <c r="F155" s="1038">
        <v>19176.4692</v>
      </c>
      <c r="G155" s="1038">
        <v>32074.930199999999</v>
      </c>
      <c r="H155" s="1038">
        <v>25568.625599999999</v>
      </c>
      <c r="I155" s="1038">
        <v>25682.773799999999</v>
      </c>
      <c r="J155" s="1038"/>
      <c r="K155" s="1038"/>
      <c r="L155" s="1038"/>
      <c r="M155" s="1038"/>
      <c r="N155" s="1038"/>
      <c r="O155" s="1038"/>
      <c r="P155" s="1038"/>
      <c r="S155"/>
      <c r="T155"/>
      <c r="U155"/>
      <c r="V155"/>
      <c r="W155"/>
      <c r="X155"/>
      <c r="Y155"/>
      <c r="Z155"/>
      <c r="AA155"/>
      <c r="AB155"/>
      <c r="AC155"/>
      <c r="AD155"/>
      <c r="AE155"/>
    </row>
    <row r="156" spans="2:31" ht="18" customHeight="1" outlineLevel="1">
      <c r="B156" s="1141" t="s">
        <v>759</v>
      </c>
      <c r="C156" s="1111" t="s">
        <v>719</v>
      </c>
      <c r="D156" s="1041">
        <f t="shared" si="83"/>
        <v>22269.709999999995</v>
      </c>
      <c r="E156" s="1037"/>
      <c r="F156" s="1037">
        <v>10036.169999999996</v>
      </c>
      <c r="G156" s="1037">
        <v>3495.02</v>
      </c>
      <c r="H156" s="1037">
        <v>5243.5</v>
      </c>
      <c r="I156" s="1037">
        <v>3495.02</v>
      </c>
      <c r="J156" s="1037"/>
      <c r="K156" s="1038"/>
      <c r="L156" s="1038"/>
      <c r="M156" s="1038"/>
      <c r="N156" s="1038"/>
      <c r="O156" s="1038"/>
      <c r="P156" s="1038"/>
      <c r="S156"/>
      <c r="T156"/>
      <c r="U156"/>
      <c r="V156"/>
      <c r="W156"/>
      <c r="X156"/>
      <c r="Y156"/>
      <c r="Z156"/>
      <c r="AA156"/>
      <c r="AB156"/>
      <c r="AC156"/>
      <c r="AD156"/>
      <c r="AE156"/>
    </row>
    <row r="157" spans="2:31" ht="18" customHeight="1" thickBot="1">
      <c r="B157" s="1141" t="s">
        <v>759</v>
      </c>
      <c r="C157" s="1045" t="s">
        <v>716</v>
      </c>
      <c r="D157" s="1044">
        <f>IFERROR(SUM(E157:P157),"")</f>
        <v>1713561.8777919551</v>
      </c>
      <c r="E157" s="1044">
        <f t="shared" ref="E157:P157" si="84">(E138-E149)</f>
        <v>12255.93817679619</v>
      </c>
      <c r="F157" s="1044">
        <f t="shared" si="84"/>
        <v>95780.388373340596</v>
      </c>
      <c r="G157" s="1044">
        <f t="shared" si="84"/>
        <v>112929.42714632716</v>
      </c>
      <c r="H157" s="1044">
        <f t="shared" si="84"/>
        <v>116572.71416429896</v>
      </c>
      <c r="I157" s="1044">
        <f t="shared" si="84"/>
        <v>189954.44170488109</v>
      </c>
      <c r="J157" s="1044">
        <f t="shared" si="84"/>
        <v>151515.03013838094</v>
      </c>
      <c r="K157" s="1044">
        <f t="shared" si="84"/>
        <v>144474.36929249048</v>
      </c>
      <c r="L157" s="1044">
        <f t="shared" si="84"/>
        <v>205797.20818849799</v>
      </c>
      <c r="M157" s="1044">
        <f t="shared" si="84"/>
        <v>231646.62970273546</v>
      </c>
      <c r="N157" s="1044">
        <f t="shared" si="84"/>
        <v>150126.42010513775</v>
      </c>
      <c r="O157" s="1044">
        <f t="shared" si="84"/>
        <v>132375.49088711187</v>
      </c>
      <c r="P157" s="1044">
        <f t="shared" si="84"/>
        <v>170133.81991195679</v>
      </c>
      <c r="S157"/>
      <c r="T157"/>
      <c r="U157"/>
      <c r="V157"/>
      <c r="W157"/>
      <c r="X157"/>
      <c r="Y157"/>
      <c r="Z157"/>
      <c r="AA157"/>
      <c r="AB157"/>
      <c r="AC157"/>
      <c r="AD157"/>
      <c r="AE157"/>
    </row>
    <row r="158" spans="2:31" ht="18" customHeight="1" outlineLevel="1" thickTop="1">
      <c r="B158" s="1141" t="s">
        <v>759</v>
      </c>
      <c r="C158" s="1049"/>
      <c r="D158" s="1049">
        <f t="shared" ref="D158:P158" si="85">IFERROR(D157/D138,"")</f>
        <v>0.2993840277858405</v>
      </c>
      <c r="E158" s="1049">
        <f t="shared" si="85"/>
        <v>3.3034873791903473E-2</v>
      </c>
      <c r="F158" s="1049">
        <f t="shared" si="85"/>
        <v>0.16674858700094114</v>
      </c>
      <c r="G158" s="1049">
        <f t="shared" si="85"/>
        <v>0.18641371268789561</v>
      </c>
      <c r="H158" s="1049">
        <f t="shared" si="85"/>
        <v>0.19399040498618611</v>
      </c>
      <c r="I158" s="1049">
        <f t="shared" si="85"/>
        <v>0.3457614796768741</v>
      </c>
      <c r="J158" s="1049">
        <f t="shared" si="85"/>
        <v>0.27550947118319191</v>
      </c>
      <c r="K158" s="1049">
        <f t="shared" si="85"/>
        <v>0.26934073320747665</v>
      </c>
      <c r="L158" s="1049">
        <f t="shared" si="85"/>
        <v>0.47026463184611761</v>
      </c>
      <c r="M158" s="1049">
        <f t="shared" si="85"/>
        <v>0.52892188716489053</v>
      </c>
      <c r="N158" s="1049">
        <f t="shared" si="85"/>
        <v>0.44134060473053194</v>
      </c>
      <c r="O158" s="1049">
        <f t="shared" si="85"/>
        <v>0.4875708688291413</v>
      </c>
      <c r="P158" s="1049">
        <f t="shared" si="85"/>
        <v>0.37930579192927449</v>
      </c>
      <c r="S158"/>
      <c r="T158"/>
      <c r="U158"/>
      <c r="V158"/>
      <c r="W158"/>
      <c r="X158"/>
      <c r="Y158"/>
      <c r="Z158"/>
      <c r="AA158"/>
      <c r="AB158"/>
      <c r="AC158"/>
      <c r="AD158"/>
      <c r="AE158"/>
    </row>
    <row r="159" spans="2:31" ht="18" customHeight="1">
      <c r="B159" s="1141" t="s">
        <v>759</v>
      </c>
      <c r="C159" s="1588" t="s">
        <v>740</v>
      </c>
      <c r="D159" s="1589">
        <f t="shared" ref="D159:D167" si="86">IF(SUM(E159:P159)&gt;0,SUM(E159:P159),"")</f>
        <v>208740.32428</v>
      </c>
      <c r="E159" s="1589">
        <f>SUM(E160:E165)</f>
        <v>53363.447</v>
      </c>
      <c r="F159" s="1589">
        <f>SUM(F160:F165)</f>
        <v>35220.761500000001</v>
      </c>
      <c r="G159" s="1589">
        <f>SUM(G160:G165)</f>
        <v>37216.012499999997</v>
      </c>
      <c r="H159" s="1589">
        <f>SUM(H160:H165)</f>
        <v>45728.435460000001</v>
      </c>
      <c r="I159" s="1589">
        <f t="shared" ref="I159:P159" si="87">SUM(I160:I165)</f>
        <v>37211.667820000002</v>
      </c>
      <c r="J159" s="1589">
        <f t="shared" si="87"/>
        <v>0</v>
      </c>
      <c r="K159" s="1589">
        <f t="shared" si="87"/>
        <v>0</v>
      </c>
      <c r="L159" s="1589">
        <f t="shared" si="87"/>
        <v>0</v>
      </c>
      <c r="M159" s="1589">
        <f t="shared" si="87"/>
        <v>0</v>
      </c>
      <c r="N159" s="1589">
        <f t="shared" si="87"/>
        <v>0</v>
      </c>
      <c r="O159" s="1589">
        <f t="shared" si="87"/>
        <v>0</v>
      </c>
      <c r="P159" s="1589">
        <f t="shared" si="87"/>
        <v>0</v>
      </c>
      <c r="S159"/>
      <c r="T159"/>
      <c r="U159"/>
      <c r="V159"/>
      <c r="W159"/>
      <c r="X159"/>
      <c r="Y159"/>
      <c r="Z159"/>
      <c r="AA159"/>
      <c r="AB159"/>
      <c r="AC159"/>
      <c r="AD159"/>
      <c r="AE159"/>
    </row>
    <row r="160" spans="2:31" ht="18" customHeight="1" outlineLevel="1">
      <c r="B160" s="1141" t="s">
        <v>759</v>
      </c>
      <c r="C160" s="1111" t="s">
        <v>720</v>
      </c>
      <c r="D160" s="1041" t="str">
        <f t="shared" si="86"/>
        <v/>
      </c>
      <c r="E160" s="1038"/>
      <c r="F160" s="1038"/>
      <c r="G160" s="1038"/>
      <c r="H160" s="1038"/>
      <c r="I160" s="1038"/>
      <c r="J160" s="1038"/>
      <c r="K160" s="1038"/>
      <c r="L160" s="1038"/>
      <c r="M160" s="1038"/>
      <c r="N160" s="1038"/>
      <c r="O160" s="1038"/>
      <c r="P160" s="1038"/>
      <c r="S160"/>
      <c r="T160"/>
      <c r="U160"/>
      <c r="V160"/>
      <c r="W160"/>
      <c r="X160"/>
      <c r="Y160"/>
      <c r="Z160"/>
      <c r="AA160"/>
      <c r="AB160"/>
      <c r="AC160"/>
      <c r="AD160"/>
      <c r="AE160"/>
    </row>
    <row r="161" spans="2:31" ht="18" customHeight="1" outlineLevel="1">
      <c r="B161" s="1141" t="s">
        <v>759</v>
      </c>
      <c r="C161" s="1111" t="s">
        <v>719</v>
      </c>
      <c r="D161" s="1041" t="str">
        <f t="shared" si="86"/>
        <v/>
      </c>
      <c r="E161" s="1038"/>
      <c r="F161" s="1038"/>
      <c r="G161" s="1038"/>
      <c r="H161" s="1038"/>
      <c r="I161" s="1038"/>
      <c r="J161" s="1038"/>
      <c r="K161" s="1038"/>
      <c r="L161" s="1038"/>
      <c r="M161" s="1038"/>
      <c r="N161" s="1038"/>
      <c r="O161" s="1038"/>
      <c r="P161" s="1038"/>
      <c r="S161"/>
      <c r="T161"/>
      <c r="U161"/>
      <c r="V161"/>
      <c r="W161"/>
      <c r="X161"/>
      <c r="Y161"/>
      <c r="Z161"/>
      <c r="AA161"/>
      <c r="AB161"/>
      <c r="AC161"/>
      <c r="AD161"/>
      <c r="AE161"/>
    </row>
    <row r="162" spans="2:31" ht="18" customHeight="1" outlineLevel="1">
      <c r="B162" s="1141" t="s">
        <v>759</v>
      </c>
      <c r="C162" s="1603" t="s">
        <v>721</v>
      </c>
      <c r="D162" s="1041">
        <f t="shared" si="86"/>
        <v>33528.369999999995</v>
      </c>
      <c r="E162" s="1038">
        <f>13084.95+4583.12</f>
        <v>17668.07</v>
      </c>
      <c r="F162" s="1038">
        <v>220</v>
      </c>
      <c r="G162" s="1038">
        <f>2138.85+234</f>
        <v>2372.85</v>
      </c>
      <c r="H162" s="1038">
        <v>12117.45</v>
      </c>
      <c r="I162" s="1038">
        <v>1150</v>
      </c>
      <c r="J162" s="1038"/>
      <c r="K162" s="1038"/>
      <c r="L162" s="1038"/>
      <c r="M162" s="1038"/>
      <c r="N162" s="1038"/>
      <c r="O162" s="1038"/>
      <c r="P162" s="1038"/>
      <c r="S162"/>
      <c r="T162"/>
      <c r="U162"/>
      <c r="V162"/>
      <c r="W162"/>
      <c r="X162"/>
      <c r="Y162"/>
      <c r="Z162"/>
      <c r="AA162"/>
      <c r="AB162"/>
      <c r="AC162"/>
      <c r="AD162"/>
      <c r="AE162"/>
    </row>
    <row r="163" spans="2:31" ht="18" customHeight="1" outlineLevel="1">
      <c r="B163" s="1141" t="s">
        <v>759</v>
      </c>
      <c r="C163" s="158" t="s">
        <v>752</v>
      </c>
      <c r="D163" s="1041">
        <f t="shared" ref="D163:D165" si="88">IF(SUM(E163:P163)&gt;0,SUM(E163:P163),"")</f>
        <v>153013.08749999999</v>
      </c>
      <c r="E163" s="1068">
        <f>((15693.65*52)/12)*0.45</f>
        <v>30602.6175</v>
      </c>
      <c r="F163" s="1068">
        <f t="shared" ref="F163:P163" si="89">((15693.65*52)/12)*0.45</f>
        <v>30602.6175</v>
      </c>
      <c r="G163" s="1068">
        <f t="shared" si="89"/>
        <v>30602.6175</v>
      </c>
      <c r="H163" s="1068">
        <f t="shared" si="89"/>
        <v>30602.6175</v>
      </c>
      <c r="I163" s="1068">
        <f t="shared" si="89"/>
        <v>30602.6175</v>
      </c>
      <c r="J163" s="1068"/>
      <c r="K163" s="1068"/>
      <c r="L163" s="1068"/>
      <c r="M163" s="1068"/>
      <c r="N163" s="1068"/>
      <c r="O163" s="1068"/>
      <c r="P163" s="1068"/>
      <c r="S163"/>
      <c r="T163"/>
      <c r="U163"/>
      <c r="V163"/>
      <c r="W163"/>
      <c r="X163"/>
      <c r="Y163"/>
      <c r="Z163"/>
      <c r="AA163"/>
      <c r="AB163"/>
      <c r="AC163"/>
      <c r="AD163"/>
      <c r="AE163"/>
    </row>
    <row r="164" spans="2:31" ht="18" customHeight="1" outlineLevel="1">
      <c r="B164" s="1141" t="s">
        <v>759</v>
      </c>
      <c r="C164" s="158" t="s">
        <v>384</v>
      </c>
      <c r="D164" s="1041">
        <f t="shared" si="88"/>
        <v>3060.2324999999996</v>
      </c>
      <c r="E164" s="1068">
        <f>((313.87*52)/12)*0.45</f>
        <v>612.04649999999992</v>
      </c>
      <c r="F164" s="1068">
        <f t="shared" ref="F164:P164" si="90">((313.87*52)/12)*0.45</f>
        <v>612.04649999999992</v>
      </c>
      <c r="G164" s="1068">
        <f t="shared" si="90"/>
        <v>612.04649999999992</v>
      </c>
      <c r="H164" s="1068">
        <f t="shared" si="90"/>
        <v>612.04649999999992</v>
      </c>
      <c r="I164" s="1068">
        <f t="shared" si="90"/>
        <v>612.04649999999992</v>
      </c>
      <c r="J164" s="1068"/>
      <c r="K164" s="1068"/>
      <c r="L164" s="1068"/>
      <c r="M164" s="1068"/>
      <c r="N164" s="1068"/>
      <c r="O164" s="1068"/>
      <c r="P164" s="1068"/>
      <c r="S164"/>
      <c r="T164"/>
      <c r="U164"/>
      <c r="V164"/>
      <c r="W164"/>
      <c r="X164"/>
      <c r="Y164"/>
      <c r="Z164"/>
      <c r="AA164"/>
      <c r="AB164"/>
      <c r="AC164"/>
      <c r="AD164"/>
      <c r="AE164"/>
    </row>
    <row r="165" spans="2:31" ht="18" customHeight="1" outlineLevel="1">
      <c r="B165" s="1141" t="s">
        <v>759</v>
      </c>
      <c r="C165" s="158" t="s">
        <v>717</v>
      </c>
      <c r="D165" s="1041">
        <f t="shared" si="88"/>
        <v>19138.634279999998</v>
      </c>
      <c r="E165" s="1068">
        <f>9957.14*0.45</f>
        <v>4480.7129999999997</v>
      </c>
      <c r="F165" s="1068">
        <f>8413.55*0.45</f>
        <v>3786.0974999999999</v>
      </c>
      <c r="G165" s="1068">
        <f>8063.33*0.45</f>
        <v>3628.4985000000001</v>
      </c>
      <c r="H165" s="1068">
        <f>5325.1588*0.45</f>
        <v>2396.3214600000001</v>
      </c>
      <c r="I165" s="1068">
        <f>10771.1196*0.45</f>
        <v>4847.0038199999999</v>
      </c>
      <c r="J165" s="1068"/>
      <c r="K165" s="1068"/>
      <c r="L165" s="1068"/>
      <c r="M165" s="1068"/>
      <c r="N165" s="1068"/>
      <c r="O165" s="1068"/>
      <c r="P165" s="1068"/>
      <c r="S165"/>
      <c r="T165"/>
      <c r="U165"/>
      <c r="V165"/>
      <c r="W165"/>
      <c r="X165"/>
      <c r="Y165"/>
      <c r="Z165"/>
      <c r="AA165"/>
      <c r="AB165"/>
      <c r="AC165"/>
      <c r="AD165"/>
      <c r="AE165"/>
    </row>
    <row r="166" spans="2:31" ht="18" customHeight="1">
      <c r="B166" s="1141" t="s">
        <v>759</v>
      </c>
      <c r="C166" s="1590" t="s">
        <v>741</v>
      </c>
      <c r="D166" s="1583">
        <f t="shared" si="86"/>
        <v>2639</v>
      </c>
      <c r="E166" s="1583">
        <f>IF(SUM(E167:E167)&gt;0,SUM(E167:E167),0)</f>
        <v>0</v>
      </c>
      <c r="F166" s="1583">
        <f t="shared" ref="F166:P166" si="91">IF(SUM(F167:F167)&gt;0,SUM(F167:F167),0)</f>
        <v>0</v>
      </c>
      <c r="G166" s="1583">
        <f t="shared" si="91"/>
        <v>0</v>
      </c>
      <c r="H166" s="1583">
        <f t="shared" si="91"/>
        <v>2639</v>
      </c>
      <c r="I166" s="1583">
        <f t="shared" si="91"/>
        <v>0</v>
      </c>
      <c r="J166" s="1583">
        <f t="shared" si="91"/>
        <v>0</v>
      </c>
      <c r="K166" s="1583">
        <f t="shared" si="91"/>
        <v>0</v>
      </c>
      <c r="L166" s="1583">
        <f t="shared" si="91"/>
        <v>0</v>
      </c>
      <c r="M166" s="1583">
        <f t="shared" si="91"/>
        <v>0</v>
      </c>
      <c r="N166" s="1583">
        <f t="shared" si="91"/>
        <v>0</v>
      </c>
      <c r="O166" s="1583">
        <f t="shared" si="91"/>
        <v>0</v>
      </c>
      <c r="P166" s="1583">
        <f t="shared" si="91"/>
        <v>0</v>
      </c>
      <c r="S166"/>
      <c r="T166"/>
      <c r="U166"/>
      <c r="V166"/>
      <c r="W166"/>
      <c r="X166"/>
      <c r="Y166"/>
      <c r="Z166"/>
      <c r="AA166"/>
      <c r="AB166"/>
      <c r="AC166"/>
      <c r="AD166"/>
      <c r="AE166"/>
    </row>
    <row r="167" spans="2:31" ht="18" customHeight="1" outlineLevel="1" thickBot="1">
      <c r="B167" s="1141" t="s">
        <v>759</v>
      </c>
      <c r="C167" s="1603" t="s">
        <v>721</v>
      </c>
      <c r="D167" s="1041">
        <f t="shared" si="86"/>
        <v>2639</v>
      </c>
      <c r="E167" s="1038"/>
      <c r="F167" s="1038"/>
      <c r="G167" s="1038"/>
      <c r="H167" s="1038">
        <v>2639</v>
      </c>
      <c r="I167" s="1038"/>
      <c r="J167" s="1038"/>
      <c r="K167" s="1038"/>
      <c r="L167" s="1038"/>
      <c r="M167" s="1038"/>
      <c r="N167" s="1038"/>
      <c r="O167" s="1038"/>
      <c r="P167" s="1038"/>
      <c r="S167"/>
      <c r="T167"/>
      <c r="U167"/>
      <c r="V167"/>
      <c r="W167"/>
      <c r="X167"/>
      <c r="Y167"/>
      <c r="Z167"/>
      <c r="AA167"/>
      <c r="AB167"/>
      <c r="AC167"/>
      <c r="AD167"/>
      <c r="AE167"/>
    </row>
    <row r="168" spans="2:31" ht="18" customHeight="1" thickTop="1" thickBot="1">
      <c r="B168" s="1141" t="s">
        <v>759</v>
      </c>
      <c r="C168" s="1047" t="s">
        <v>739</v>
      </c>
      <c r="D168" s="1048">
        <f>IFERROR(SUM(E168:P168),"")</f>
        <v>1502182.5535119553</v>
      </c>
      <c r="E168" s="1048">
        <f>(E157-E159-E166)</f>
        <v>-41107.508823203811</v>
      </c>
      <c r="F168" s="1048">
        <f t="shared" ref="F168:P168" si="92">(F157-F159-F166)</f>
        <v>60559.626873340596</v>
      </c>
      <c r="G168" s="1048">
        <f t="shared" si="92"/>
        <v>75713.414646327161</v>
      </c>
      <c r="H168" s="1048">
        <f t="shared" si="92"/>
        <v>68205.278704298951</v>
      </c>
      <c r="I168" s="1048">
        <f t="shared" si="92"/>
        <v>152742.77388488108</v>
      </c>
      <c r="J168" s="1048">
        <f t="shared" si="92"/>
        <v>151515.03013838094</v>
      </c>
      <c r="K168" s="1048">
        <f t="shared" si="92"/>
        <v>144474.36929249048</v>
      </c>
      <c r="L168" s="1048">
        <f t="shared" si="92"/>
        <v>205797.20818849799</v>
      </c>
      <c r="M168" s="1048">
        <f t="shared" si="92"/>
        <v>231646.62970273546</v>
      </c>
      <c r="N168" s="1048">
        <f t="shared" si="92"/>
        <v>150126.42010513775</v>
      </c>
      <c r="O168" s="1048">
        <f t="shared" si="92"/>
        <v>132375.49088711187</v>
      </c>
      <c r="P168" s="1048">
        <f t="shared" si="92"/>
        <v>170133.81991195679</v>
      </c>
      <c r="S168"/>
      <c r="T168"/>
      <c r="U168"/>
      <c r="V168"/>
      <c r="W168"/>
      <c r="X168"/>
      <c r="Y168"/>
      <c r="Z168"/>
      <c r="AA168"/>
      <c r="AB168"/>
      <c r="AC168"/>
      <c r="AD168"/>
      <c r="AE168"/>
    </row>
    <row r="169" spans="2:31" ht="18" customHeight="1" outlineLevel="1" thickTop="1">
      <c r="B169" s="1141" t="s">
        <v>759</v>
      </c>
      <c r="C169" s="1050"/>
      <c r="D169" s="1056">
        <f t="shared" ref="D169:P169" si="93">IFERROR(D168/D138,"")</f>
        <v>0.26245300456820153</v>
      </c>
      <c r="E169" s="1056">
        <f t="shared" si="93"/>
        <v>-0.11080191057467334</v>
      </c>
      <c r="F169" s="1056">
        <f t="shared" si="93"/>
        <v>0.10543110528088544</v>
      </c>
      <c r="G169" s="1056">
        <f t="shared" si="93"/>
        <v>0.12498087594309534</v>
      </c>
      <c r="H169" s="1056">
        <f t="shared" si="93"/>
        <v>0.11350142898272474</v>
      </c>
      <c r="I169" s="1056">
        <f t="shared" si="93"/>
        <v>0.27802754720754502</v>
      </c>
      <c r="J169" s="1056">
        <f t="shared" si="93"/>
        <v>0.27550947118319191</v>
      </c>
      <c r="K169" s="1056">
        <f t="shared" si="93"/>
        <v>0.26934073320747665</v>
      </c>
      <c r="L169" s="1056">
        <f t="shared" si="93"/>
        <v>0.47026463184611761</v>
      </c>
      <c r="M169" s="1056">
        <f t="shared" si="93"/>
        <v>0.52892188716489053</v>
      </c>
      <c r="N169" s="1056">
        <f t="shared" si="93"/>
        <v>0.44134060473053194</v>
      </c>
      <c r="O169" s="1056">
        <f t="shared" si="93"/>
        <v>0.4875708688291413</v>
      </c>
      <c r="P169" s="1056">
        <f t="shared" si="93"/>
        <v>0.37930579192927449</v>
      </c>
      <c r="S169"/>
      <c r="T169"/>
      <c r="U169"/>
      <c r="V169"/>
      <c r="W169"/>
      <c r="X169"/>
      <c r="Y169"/>
      <c r="Z169"/>
      <c r="AA169"/>
      <c r="AB169"/>
      <c r="AC169"/>
      <c r="AD169"/>
      <c r="AE169"/>
    </row>
    <row r="170" spans="2:31" ht="18" customHeight="1">
      <c r="B170" s="1141" t="s">
        <v>759</v>
      </c>
      <c r="C170" s="1065" t="s">
        <v>728</v>
      </c>
      <c r="D170" s="1066">
        <f t="shared" ref="D170" si="94">IF(SUM(E170:P170)&gt;0,SUM(E170:P170),"")</f>
        <v>66824.710000000006</v>
      </c>
      <c r="E170" s="1067"/>
      <c r="F170" s="1067"/>
      <c r="G170" s="1067"/>
      <c r="H170" s="1067"/>
      <c r="I170" s="1067">
        <v>4640</v>
      </c>
      <c r="J170" s="1067">
        <v>3420.27</v>
      </c>
      <c r="K170" s="1067"/>
      <c r="L170" s="1067">
        <v>47495.040000000008</v>
      </c>
      <c r="M170" s="1067">
        <v>11269.4</v>
      </c>
      <c r="N170" s="1067"/>
      <c r="O170" s="1067"/>
      <c r="P170" s="1067"/>
      <c r="S170"/>
      <c r="T170"/>
      <c r="U170"/>
      <c r="V170"/>
      <c r="W170"/>
      <c r="X170"/>
      <c r="Y170"/>
      <c r="Z170"/>
      <c r="AA170"/>
      <c r="AB170"/>
      <c r="AC170"/>
      <c r="AD170"/>
      <c r="AE170"/>
    </row>
    <row r="171" spans="2:31" ht="18" customHeight="1">
      <c r="B171" s="1141" t="s">
        <v>759</v>
      </c>
      <c r="C171" s="1052" t="s">
        <v>742</v>
      </c>
      <c r="D171" s="1249">
        <f>SUMPRODUCT(E171:P171,E114:P114)/SUM(E114:P114)</f>
        <v>18.698333927272728</v>
      </c>
      <c r="E171" s="1250">
        <f>SUM(E172:E174)</f>
        <v>50.091707819548873</v>
      </c>
      <c r="F171" s="1250">
        <f>SUM(F172:F174)</f>
        <v>37.443877590909089</v>
      </c>
      <c r="G171" s="1250">
        <f t="shared" ref="G171:P171" si="95">SUM(G172:G174)</f>
        <v>23.928425843749999</v>
      </c>
      <c r="H171" s="1250">
        <f t="shared" si="95"/>
        <v>31.877839699999999</v>
      </c>
      <c r="I171" s="1250">
        <f t="shared" si="95"/>
        <v>39.910237948453613</v>
      </c>
      <c r="J171" s="1250">
        <f t="shared" si="95"/>
        <v>0</v>
      </c>
      <c r="K171" s="1250">
        <f t="shared" si="95"/>
        <v>0</v>
      </c>
      <c r="L171" s="1250">
        <f t="shared" si="95"/>
        <v>0</v>
      </c>
      <c r="M171" s="1250">
        <f t="shared" si="95"/>
        <v>0</v>
      </c>
      <c r="N171" s="1250">
        <f t="shared" si="95"/>
        <v>0</v>
      </c>
      <c r="O171" s="1250">
        <f t="shared" si="95"/>
        <v>0</v>
      </c>
      <c r="P171" s="1250">
        <f t="shared" si="95"/>
        <v>0</v>
      </c>
      <c r="S171"/>
      <c r="T171"/>
      <c r="U171"/>
      <c r="V171"/>
      <c r="W171"/>
      <c r="X171"/>
      <c r="Y171"/>
      <c r="Z171"/>
      <c r="AA171"/>
      <c r="AB171"/>
      <c r="AC171"/>
      <c r="AD171"/>
      <c r="AE171"/>
    </row>
    <row r="172" spans="2:31" ht="18" customHeight="1" outlineLevel="1">
      <c r="B172" s="1141" t="s">
        <v>759</v>
      </c>
      <c r="C172" s="1058" t="s">
        <v>794</v>
      </c>
      <c r="D172" s="1248">
        <f>SUMPRODUCT(E172:P172,E114:P114)/SUM(E114:P114)</f>
        <v>9.9636511057851234</v>
      </c>
      <c r="E172" s="1251">
        <f t="shared" ref="E172:K172" si="96">SUM(E151:E156)/SUM(E114)</f>
        <v>30.030261578947371</v>
      </c>
      <c r="F172" s="1251">
        <f t="shared" si="96"/>
        <v>21.434440545454542</v>
      </c>
      <c r="G172" s="1251">
        <f t="shared" si="96"/>
        <v>12.298421937500001</v>
      </c>
      <c r="H172" s="1251">
        <f t="shared" si="96"/>
        <v>13.274979907692305</v>
      </c>
      <c r="I172" s="1251">
        <f t="shared" si="96"/>
        <v>20.728965876288662</v>
      </c>
      <c r="J172" s="1251">
        <f t="shared" si="96"/>
        <v>0</v>
      </c>
      <c r="K172" s="1251">
        <f t="shared" si="96"/>
        <v>0</v>
      </c>
      <c r="L172" s="1251">
        <f t="shared" ref="L172:P172" si="97">SUM(L151:L156)/SUM(L114)</f>
        <v>0</v>
      </c>
      <c r="M172" s="1251">
        <f t="shared" si="97"/>
        <v>0</v>
      </c>
      <c r="N172" s="1251">
        <f t="shared" si="97"/>
        <v>0</v>
      </c>
      <c r="O172" s="1251">
        <f t="shared" si="97"/>
        <v>0</v>
      </c>
      <c r="P172" s="1251">
        <f t="shared" si="97"/>
        <v>0</v>
      </c>
      <c r="S172"/>
      <c r="T172"/>
      <c r="U172"/>
      <c r="V172"/>
      <c r="W172"/>
      <c r="X172"/>
      <c r="Y172"/>
      <c r="Z172"/>
      <c r="AA172"/>
      <c r="AB172"/>
      <c r="AC172"/>
      <c r="AD172"/>
      <c r="AE172"/>
    </row>
    <row r="173" spans="2:31" ht="18" customHeight="1" outlineLevel="1">
      <c r="B173" s="1141" t="s">
        <v>759</v>
      </c>
      <c r="C173" s="1058" t="s">
        <v>795</v>
      </c>
      <c r="D173" s="1248">
        <f>SUMPRODUCT(E173:P173,E114:P114)/SUM(E114:P114)</f>
        <v>8.6256332347107438</v>
      </c>
      <c r="E173" s="1251">
        <f t="shared" ref="E173:P173" si="98">(E159/E114)</f>
        <v>20.061446240601505</v>
      </c>
      <c r="F173" s="1251">
        <f t="shared" si="98"/>
        <v>16.009437045454547</v>
      </c>
      <c r="G173" s="1251">
        <f t="shared" si="98"/>
        <v>11.63000390625</v>
      </c>
      <c r="H173" s="1251">
        <f t="shared" si="98"/>
        <v>17.587859792307693</v>
      </c>
      <c r="I173" s="1251">
        <f t="shared" si="98"/>
        <v>19.181272072164951</v>
      </c>
      <c r="J173" s="1251">
        <f t="shared" si="98"/>
        <v>0</v>
      </c>
      <c r="K173" s="1251">
        <f t="shared" si="98"/>
        <v>0</v>
      </c>
      <c r="L173" s="1251">
        <f t="shared" si="98"/>
        <v>0</v>
      </c>
      <c r="M173" s="1251">
        <f t="shared" si="98"/>
        <v>0</v>
      </c>
      <c r="N173" s="1251">
        <f t="shared" si="98"/>
        <v>0</v>
      </c>
      <c r="O173" s="1251">
        <f t="shared" si="98"/>
        <v>0</v>
      </c>
      <c r="P173" s="1251">
        <f t="shared" si="98"/>
        <v>0</v>
      </c>
      <c r="S173"/>
      <c r="T173"/>
      <c r="U173"/>
      <c r="V173"/>
      <c r="W173"/>
      <c r="X173"/>
      <c r="Y173"/>
      <c r="Z173"/>
      <c r="AA173"/>
      <c r="AB173"/>
      <c r="AC173"/>
      <c r="AD173"/>
      <c r="AE173"/>
    </row>
    <row r="174" spans="2:31" ht="18" customHeight="1" outlineLevel="1">
      <c r="B174" s="1141" t="s">
        <v>759</v>
      </c>
      <c r="C174" s="1058" t="s">
        <v>796</v>
      </c>
      <c r="D174" s="1248">
        <f>SUMPRODUCT(E174:P174,E114:P114)/SUM(E114:P114)</f>
        <v>0.10904958677685948</v>
      </c>
      <c r="E174" s="1251">
        <f>(E166/E114)</f>
        <v>0</v>
      </c>
      <c r="F174" s="1251">
        <f t="shared" ref="F174:P174" si="99">(F166/F114)</f>
        <v>0</v>
      </c>
      <c r="G174" s="1251">
        <f t="shared" si="99"/>
        <v>0</v>
      </c>
      <c r="H174" s="1251">
        <f t="shared" si="99"/>
        <v>1.0149999999999999</v>
      </c>
      <c r="I174" s="1251">
        <f t="shared" si="99"/>
        <v>0</v>
      </c>
      <c r="J174" s="1251">
        <f t="shared" si="99"/>
        <v>0</v>
      </c>
      <c r="K174" s="1251">
        <f t="shared" si="99"/>
        <v>0</v>
      </c>
      <c r="L174" s="1251">
        <f t="shared" si="99"/>
        <v>0</v>
      </c>
      <c r="M174" s="1251">
        <f t="shared" si="99"/>
        <v>0</v>
      </c>
      <c r="N174" s="1251">
        <f t="shared" si="99"/>
        <v>0</v>
      </c>
      <c r="O174" s="1251">
        <f t="shared" si="99"/>
        <v>0</v>
      </c>
      <c r="P174" s="1251">
        <f t="shared" si="99"/>
        <v>0</v>
      </c>
      <c r="S174"/>
      <c r="T174"/>
      <c r="U174"/>
      <c r="V174"/>
      <c r="W174"/>
      <c r="X174"/>
      <c r="Y174"/>
      <c r="Z174"/>
      <c r="AA174"/>
      <c r="AB174"/>
      <c r="AC174"/>
      <c r="AD174"/>
      <c r="AE174"/>
    </row>
    <row r="175" spans="2:31" ht="18" customHeight="1" outlineLevel="1">
      <c r="B175" s="1141" t="s">
        <v>759</v>
      </c>
      <c r="C175" s="1063" t="s">
        <v>797</v>
      </c>
      <c r="D175" s="1248">
        <f>SUMPRODUCT(E175:P175,E114:P114)/SUM(E114:P114)</f>
        <v>4.674583481818182</v>
      </c>
      <c r="E175" s="1046">
        <f>(E171*0.25)</f>
        <v>12.522926954887218</v>
      </c>
      <c r="F175" s="1046">
        <f>(F171*0.25)</f>
        <v>9.3609693977272723</v>
      </c>
      <c r="G175" s="1046">
        <f>(G171*0.25)</f>
        <v>5.9821064609374996</v>
      </c>
      <c r="H175" s="1046">
        <f t="shared" ref="H175:P175" si="100">(H171*0.25)</f>
        <v>7.9694599249999998</v>
      </c>
      <c r="I175" s="1046">
        <f t="shared" si="100"/>
        <v>9.9775594871134032</v>
      </c>
      <c r="J175" s="1046">
        <f t="shared" si="100"/>
        <v>0</v>
      </c>
      <c r="K175" s="1046">
        <f t="shared" si="100"/>
        <v>0</v>
      </c>
      <c r="L175" s="1046">
        <f t="shared" si="100"/>
        <v>0</v>
      </c>
      <c r="M175" s="1046">
        <f t="shared" si="100"/>
        <v>0</v>
      </c>
      <c r="N175" s="1046">
        <f t="shared" si="100"/>
        <v>0</v>
      </c>
      <c r="O175" s="1046">
        <f t="shared" si="100"/>
        <v>0</v>
      </c>
      <c r="P175" s="1046">
        <f t="shared" si="100"/>
        <v>0</v>
      </c>
      <c r="Q175" s="834"/>
      <c r="S175"/>
      <c r="T175"/>
      <c r="U175"/>
      <c r="V175"/>
      <c r="W175"/>
      <c r="X175"/>
      <c r="Y175"/>
      <c r="Z175"/>
      <c r="AA175"/>
      <c r="AB175"/>
      <c r="AC175"/>
      <c r="AD175"/>
      <c r="AE175"/>
    </row>
    <row r="176" spans="2:31" ht="18" customHeight="1" outlineLevel="1">
      <c r="B176" s="1141" t="s">
        <v>759</v>
      </c>
      <c r="C176" s="1063" t="s">
        <v>798</v>
      </c>
      <c r="D176" s="1248">
        <f>SUMPRODUCT(E176:P176,E114:P114)/SUM(E114:P114)</f>
        <v>9.3491669636363639</v>
      </c>
      <c r="E176" s="1046">
        <f>(E171*0.5)</f>
        <v>25.045853909774436</v>
      </c>
      <c r="F176" s="1046">
        <f>(F171*0.5)</f>
        <v>18.721938795454545</v>
      </c>
      <c r="G176" s="1046">
        <f>(G171*0.5)</f>
        <v>11.964212921874999</v>
      </c>
      <c r="H176" s="1046">
        <f t="shared" ref="H176:P176" si="101">(H171*0.5)</f>
        <v>15.93891985</v>
      </c>
      <c r="I176" s="1046">
        <f>(I171*0.5)</f>
        <v>19.955118974226806</v>
      </c>
      <c r="J176" s="1046">
        <f t="shared" si="101"/>
        <v>0</v>
      </c>
      <c r="K176" s="1046">
        <f t="shared" si="101"/>
        <v>0</v>
      </c>
      <c r="L176" s="1046">
        <f t="shared" si="101"/>
        <v>0</v>
      </c>
      <c r="M176" s="1046">
        <f t="shared" si="101"/>
        <v>0</v>
      </c>
      <c r="N176" s="1046">
        <f t="shared" si="101"/>
        <v>0</v>
      </c>
      <c r="O176" s="1046">
        <f t="shared" si="101"/>
        <v>0</v>
      </c>
      <c r="P176" s="1046">
        <f t="shared" si="101"/>
        <v>0</v>
      </c>
      <c r="Q176" s="834"/>
      <c r="S176"/>
      <c r="T176"/>
      <c r="U176"/>
      <c r="V176"/>
      <c r="W176"/>
      <c r="X176"/>
      <c r="Y176"/>
      <c r="Z176"/>
      <c r="AA176"/>
      <c r="AB176"/>
      <c r="AC176"/>
      <c r="AD176"/>
      <c r="AE176"/>
    </row>
    <row r="177" spans="2:32" ht="18" customHeight="1" outlineLevel="1">
      <c r="B177" s="1141" t="s">
        <v>759</v>
      </c>
      <c r="C177" s="1063" t="s">
        <v>799</v>
      </c>
      <c r="D177" s="1248">
        <f>SUMPRODUCT(E177:P177,E114:P114)/SUM(E114:P114)</f>
        <v>4.3006168032727281</v>
      </c>
      <c r="E177" s="1046">
        <f>(E171*0.23)</f>
        <v>11.521092798496241</v>
      </c>
      <c r="F177" s="1046">
        <f>(F171*0.23)</f>
        <v>8.6120918459090916</v>
      </c>
      <c r="G177" s="1046">
        <f t="shared" ref="G177:P177" si="102">(G171*0.23)</f>
        <v>5.5035379440624999</v>
      </c>
      <c r="H177" s="1046">
        <f>(H171*0.23)</f>
        <v>7.3319031309999998</v>
      </c>
      <c r="I177" s="1046">
        <f t="shared" si="102"/>
        <v>9.1793547281443306</v>
      </c>
      <c r="J177" s="1046">
        <f t="shared" si="102"/>
        <v>0</v>
      </c>
      <c r="K177" s="1046">
        <f t="shared" si="102"/>
        <v>0</v>
      </c>
      <c r="L177" s="1046">
        <f t="shared" si="102"/>
        <v>0</v>
      </c>
      <c r="M177" s="1046">
        <f t="shared" si="102"/>
        <v>0</v>
      </c>
      <c r="N177" s="1046">
        <f t="shared" si="102"/>
        <v>0</v>
      </c>
      <c r="O177" s="1046">
        <f t="shared" si="102"/>
        <v>0</v>
      </c>
      <c r="P177" s="1046">
        <f t="shared" si="102"/>
        <v>0</v>
      </c>
      <c r="Q177" s="834"/>
      <c r="S177"/>
      <c r="T177"/>
      <c r="U177"/>
      <c r="V177"/>
      <c r="W177"/>
      <c r="X177"/>
      <c r="Y177"/>
      <c r="Z177"/>
      <c r="AA177"/>
      <c r="AB177"/>
      <c r="AC177"/>
      <c r="AD177"/>
      <c r="AE177"/>
    </row>
    <row r="178" spans="2:32" ht="18" customHeight="1" outlineLevel="1">
      <c r="B178" s="1141" t="s">
        <v>759</v>
      </c>
      <c r="C178" s="1063" t="s">
        <v>800</v>
      </c>
      <c r="D178" s="1248">
        <f>SUMPRODUCT(E178:P178,E114:P114)/SUM(E114:P114)</f>
        <v>0.37396667854545446</v>
      </c>
      <c r="E178" s="1046">
        <f>(E171*0.02)</f>
        <v>1.0018341563909774</v>
      </c>
      <c r="F178" s="1046">
        <f>(F171*0.02)</f>
        <v>0.74887755181818183</v>
      </c>
      <c r="G178" s="1046">
        <f t="shared" ref="G178:P178" si="103">(G171*0.02)</f>
        <v>0.47856851687499996</v>
      </c>
      <c r="H178" s="1046">
        <f t="shared" si="103"/>
        <v>0.63755679399999998</v>
      </c>
      <c r="I178" s="1046">
        <f t="shared" si="103"/>
        <v>0.79820475896907228</v>
      </c>
      <c r="J178" s="1046">
        <f t="shared" si="103"/>
        <v>0</v>
      </c>
      <c r="K178" s="1046">
        <f t="shared" si="103"/>
        <v>0</v>
      </c>
      <c r="L178" s="1046">
        <f t="shared" si="103"/>
        <v>0</v>
      </c>
      <c r="M178" s="1046">
        <f t="shared" si="103"/>
        <v>0</v>
      </c>
      <c r="N178" s="1046">
        <f t="shared" si="103"/>
        <v>0</v>
      </c>
      <c r="O178" s="1046">
        <f t="shared" si="103"/>
        <v>0</v>
      </c>
      <c r="P178" s="1046">
        <f t="shared" si="103"/>
        <v>0</v>
      </c>
      <c r="Q178" s="834"/>
      <c r="S178"/>
      <c r="T178"/>
      <c r="U178"/>
      <c r="V178"/>
      <c r="W178"/>
      <c r="X178"/>
      <c r="Y178"/>
      <c r="Z178"/>
      <c r="AA178"/>
      <c r="AB178"/>
      <c r="AC178"/>
      <c r="AD178"/>
      <c r="AE178"/>
    </row>
    <row r="179" spans="2:32" ht="18" hidden="1" customHeight="1">
      <c r="S179"/>
      <c r="T179"/>
      <c r="U179"/>
      <c r="V179"/>
      <c r="W179"/>
      <c r="X179"/>
      <c r="Y179"/>
      <c r="Z179"/>
      <c r="AA179"/>
      <c r="AB179"/>
      <c r="AC179"/>
      <c r="AD179"/>
      <c r="AE179"/>
    </row>
    <row r="180" spans="2:32" s="1294" customFormat="1" ht="18" hidden="1" customHeight="1">
      <c r="B180" s="1356" t="s">
        <v>817</v>
      </c>
      <c r="C180" s="1586" t="s">
        <v>731</v>
      </c>
      <c r="D180" s="1587">
        <f>IFERROR(SUM(D181:D185),"")</f>
        <v>1469500</v>
      </c>
      <c r="E180" s="1587">
        <f>SUM(E181:E185)</f>
        <v>236400</v>
      </c>
      <c r="F180" s="1587">
        <f>SUM(F181:F185)</f>
        <v>57100</v>
      </c>
      <c r="G180" s="1587">
        <f>SUM(G181:G185)</f>
        <v>70000</v>
      </c>
      <c r="H180" s="1587">
        <f>SUM(H181:H185)</f>
        <v>103000</v>
      </c>
      <c r="I180" s="1587">
        <f t="shared" ref="I180:P180" si="104">SUM(I181:I185)</f>
        <v>274000</v>
      </c>
      <c r="J180" s="1587">
        <f t="shared" si="104"/>
        <v>44000</v>
      </c>
      <c r="K180" s="1587">
        <f t="shared" si="104"/>
        <v>152200</v>
      </c>
      <c r="L180" s="1587">
        <f t="shared" si="104"/>
        <v>98000</v>
      </c>
      <c r="M180" s="1587">
        <f t="shared" si="104"/>
        <v>54000</v>
      </c>
      <c r="N180" s="1587">
        <f t="shared" si="104"/>
        <v>48000</v>
      </c>
      <c r="O180" s="1587">
        <f t="shared" si="104"/>
        <v>181000</v>
      </c>
      <c r="P180" s="1587">
        <f t="shared" si="104"/>
        <v>151800</v>
      </c>
      <c r="R180"/>
      <c r="S180"/>
      <c r="T180"/>
      <c r="U180"/>
      <c r="V180"/>
      <c r="W180"/>
      <c r="X180"/>
      <c r="Y180"/>
      <c r="Z180"/>
      <c r="AA180"/>
      <c r="AB180"/>
      <c r="AC180"/>
      <c r="AD180"/>
      <c r="AE180"/>
      <c r="AF180"/>
    </row>
    <row r="181" spans="2:32" s="790" customFormat="1" ht="18" hidden="1" customHeight="1" outlineLevel="1">
      <c r="B181" s="1142" t="s">
        <v>817</v>
      </c>
      <c r="C181" s="1084" t="s">
        <v>818</v>
      </c>
      <c r="D181" s="1062">
        <f t="shared" ref="D181:D183" si="105">IFERROR(SUM(E181:P181),"")</f>
        <v>37500</v>
      </c>
      <c r="E181" s="1062">
        <v>7400</v>
      </c>
      <c r="F181" s="1062">
        <v>3100</v>
      </c>
      <c r="G181" s="1062">
        <v>6000</v>
      </c>
      <c r="H181" s="1062">
        <v>2000</v>
      </c>
      <c r="I181" s="1062">
        <v>2000</v>
      </c>
      <c r="J181" s="1062">
        <v>6000</v>
      </c>
      <c r="K181" s="1062">
        <v>3000</v>
      </c>
      <c r="L181" s="1062">
        <v>2000</v>
      </c>
      <c r="M181" s="1062"/>
      <c r="N181" s="1062"/>
      <c r="O181" s="1062">
        <v>6000</v>
      </c>
      <c r="P181" s="1062"/>
      <c r="R181"/>
      <c r="S181"/>
      <c r="T181"/>
      <c r="U181"/>
      <c r="V181"/>
      <c r="W181"/>
      <c r="X181"/>
      <c r="Y181"/>
      <c r="Z181"/>
      <c r="AA181"/>
      <c r="AB181"/>
      <c r="AC181"/>
      <c r="AD181"/>
      <c r="AE181"/>
      <c r="AF181"/>
    </row>
    <row r="182" spans="2:32" s="790" customFormat="1" ht="18" hidden="1" customHeight="1" outlineLevel="1">
      <c r="B182" s="1142" t="s">
        <v>817</v>
      </c>
      <c r="C182" s="1063" t="s">
        <v>821</v>
      </c>
      <c r="D182" s="1064">
        <f t="shared" si="105"/>
        <v>282000</v>
      </c>
      <c r="E182" s="1064">
        <v>20000</v>
      </c>
      <c r="F182" s="1064"/>
      <c r="G182" s="1064">
        <v>14000</v>
      </c>
      <c r="H182" s="1064">
        <v>28000</v>
      </c>
      <c r="I182" s="1064">
        <v>34000</v>
      </c>
      <c r="J182" s="1064">
        <v>35000</v>
      </c>
      <c r="K182" s="1064">
        <v>46000</v>
      </c>
      <c r="L182" s="1064">
        <v>45000</v>
      </c>
      <c r="M182" s="1064">
        <v>30000</v>
      </c>
      <c r="N182" s="1064">
        <v>10000</v>
      </c>
      <c r="O182" s="1064">
        <v>10000</v>
      </c>
      <c r="P182" s="1064">
        <v>10000</v>
      </c>
      <c r="R182"/>
      <c r="S182"/>
      <c r="T182"/>
      <c r="U182"/>
      <c r="V182"/>
      <c r="W182"/>
      <c r="X182"/>
      <c r="Y182"/>
      <c r="Z182"/>
      <c r="AA182"/>
      <c r="AB182"/>
      <c r="AC182"/>
      <c r="AD182"/>
      <c r="AE182"/>
      <c r="AF182"/>
    </row>
    <row r="183" spans="2:32" s="790" customFormat="1" ht="18" hidden="1" customHeight="1" outlineLevel="1">
      <c r="B183" s="1142" t="s">
        <v>817</v>
      </c>
      <c r="C183" s="1063" t="s">
        <v>819</v>
      </c>
      <c r="D183" s="1064">
        <f t="shared" si="105"/>
        <v>850000</v>
      </c>
      <c r="E183" s="1064">
        <v>188000</v>
      </c>
      <c r="F183" s="1064"/>
      <c r="G183" s="1064"/>
      <c r="H183" s="1064"/>
      <c r="I183" s="1064">
        <v>192000</v>
      </c>
      <c r="J183" s="1064"/>
      <c r="K183" s="1064">
        <v>99200</v>
      </c>
      <c r="L183" s="1064">
        <v>20000</v>
      </c>
      <c r="M183" s="1064">
        <v>6000</v>
      </c>
      <c r="N183" s="1064">
        <v>38000</v>
      </c>
      <c r="O183" s="1064">
        <v>165000</v>
      </c>
      <c r="P183" s="1064">
        <f>50000+80000+11800</f>
        <v>141800</v>
      </c>
      <c r="R183"/>
      <c r="S183"/>
      <c r="T183"/>
      <c r="U183"/>
      <c r="V183"/>
      <c r="W183"/>
      <c r="X183"/>
      <c r="Y183"/>
      <c r="Z183"/>
      <c r="AA183"/>
      <c r="AB183"/>
      <c r="AC183"/>
      <c r="AD183"/>
      <c r="AE183"/>
      <c r="AF183"/>
    </row>
    <row r="184" spans="2:32" s="790" customFormat="1" ht="18" hidden="1" customHeight="1" outlineLevel="1">
      <c r="B184" s="1142" t="s">
        <v>817</v>
      </c>
      <c r="C184" s="1063" t="s">
        <v>820</v>
      </c>
      <c r="D184" s="1064">
        <f>IFERROR(SUM(E184:P184),"")</f>
        <v>143000</v>
      </c>
      <c r="E184" s="1064">
        <v>21000</v>
      </c>
      <c r="F184" s="1064">
        <v>54000</v>
      </c>
      <c r="G184" s="1064"/>
      <c r="H184" s="1064">
        <v>12000</v>
      </c>
      <c r="I184" s="1064"/>
      <c r="J184" s="1064">
        <v>3000</v>
      </c>
      <c r="K184" s="1064">
        <v>4000</v>
      </c>
      <c r="L184" s="1064">
        <v>31000</v>
      </c>
      <c r="M184" s="1064">
        <v>18000</v>
      </c>
      <c r="N184" s="1064"/>
      <c r="O184" s="1064"/>
      <c r="P184" s="1064"/>
      <c r="R184"/>
      <c r="S184"/>
      <c r="T184"/>
      <c r="U184"/>
      <c r="V184"/>
      <c r="W184"/>
      <c r="X184"/>
      <c r="Y184"/>
      <c r="Z184"/>
      <c r="AA184"/>
      <c r="AB184"/>
      <c r="AC184"/>
      <c r="AD184"/>
      <c r="AE184"/>
      <c r="AF184"/>
    </row>
    <row r="185" spans="2:32" s="790" customFormat="1" ht="18" hidden="1" customHeight="1" outlineLevel="1">
      <c r="B185" s="1142" t="s">
        <v>817</v>
      </c>
      <c r="C185" s="1085" t="s">
        <v>822</v>
      </c>
      <c r="D185" s="1064">
        <f>IFERROR(SUM(E185:P185),"")</f>
        <v>157000</v>
      </c>
      <c r="E185" s="1064"/>
      <c r="F185" s="1064"/>
      <c r="G185" s="1064">
        <v>50000</v>
      </c>
      <c r="H185" s="1064">
        <v>61000</v>
      </c>
      <c r="I185" s="1064">
        <v>46000</v>
      </c>
      <c r="J185" s="1064"/>
      <c r="K185" s="1064"/>
      <c r="L185" s="1064"/>
      <c r="M185" s="1064"/>
      <c r="N185" s="1064"/>
      <c r="O185" s="1064"/>
      <c r="P185" s="1064"/>
      <c r="R185"/>
      <c r="S185"/>
      <c r="T185"/>
      <c r="U185"/>
      <c r="V185"/>
      <c r="W185"/>
      <c r="X185"/>
      <c r="Y185"/>
      <c r="Z185"/>
      <c r="AA185"/>
      <c r="AB185"/>
      <c r="AC185"/>
      <c r="AD185"/>
      <c r="AE185"/>
      <c r="AF185"/>
    </row>
    <row r="186" spans="2:32" s="1294" customFormat="1" ht="18" hidden="1" customHeight="1" collapsed="1">
      <c r="B186" s="1356" t="s">
        <v>817</v>
      </c>
      <c r="C186" s="1582" t="s">
        <v>732</v>
      </c>
      <c r="D186" s="1584">
        <f>IFERROR((SUM(D187:D189)+SUM(D191:D193)),"")</f>
        <v>1235594.375</v>
      </c>
      <c r="E186" s="1592">
        <f>SUM(E187:E189)+SUM(E191:E193)</f>
        <v>87936.25</v>
      </c>
      <c r="F186" s="1592">
        <f t="shared" ref="F186:P186" si="106">SUM(F187:F189)+SUM(F191:F193)</f>
        <v>4343.125</v>
      </c>
      <c r="G186" s="1592">
        <f t="shared" si="106"/>
        <v>107390</v>
      </c>
      <c r="H186" s="1592">
        <f t="shared" si="106"/>
        <v>66300</v>
      </c>
      <c r="I186" s="1592">
        <f t="shared" si="106"/>
        <v>175090</v>
      </c>
      <c r="J186" s="1592">
        <f t="shared" si="106"/>
        <v>279000</v>
      </c>
      <c r="K186" s="1592">
        <f t="shared" si="106"/>
        <v>126375</v>
      </c>
      <c r="L186" s="1592">
        <f t="shared" si="106"/>
        <v>74240</v>
      </c>
      <c r="M186" s="1592">
        <f t="shared" si="106"/>
        <v>73890</v>
      </c>
      <c r="N186" s="1592">
        <f t="shared" si="106"/>
        <v>64110</v>
      </c>
      <c r="O186" s="1592">
        <f t="shared" si="106"/>
        <v>33430</v>
      </c>
      <c r="P186" s="1592">
        <f t="shared" si="106"/>
        <v>143490</v>
      </c>
      <c r="Q186" s="1357"/>
      <c r="R186"/>
      <c r="S186"/>
      <c r="T186"/>
      <c r="U186"/>
      <c r="V186"/>
      <c r="W186"/>
      <c r="X186"/>
      <c r="Y186"/>
      <c r="Z186"/>
      <c r="AA186"/>
      <c r="AB186"/>
      <c r="AC186"/>
      <c r="AD186"/>
      <c r="AE186"/>
      <c r="AF186"/>
    </row>
    <row r="187" spans="2:32" ht="18" hidden="1" customHeight="1" outlineLevel="1">
      <c r="B187" s="1142" t="s">
        <v>817</v>
      </c>
      <c r="C187" s="1084" t="s">
        <v>823</v>
      </c>
      <c r="D187" s="674">
        <f t="shared" ref="D187:D193" si="107">IFERROR(SUM(E187:P187),"")</f>
        <v>14700</v>
      </c>
      <c r="E187" s="82"/>
      <c r="F187" s="82"/>
      <c r="G187" s="82">
        <v>4160</v>
      </c>
      <c r="H187" s="82"/>
      <c r="I187" s="82"/>
      <c r="J187" s="82">
        <v>2200</v>
      </c>
      <c r="K187" s="82">
        <v>2000</v>
      </c>
      <c r="L187" s="82">
        <v>2340</v>
      </c>
      <c r="M187" s="82"/>
      <c r="N187" s="82"/>
      <c r="O187" s="82">
        <v>4000</v>
      </c>
      <c r="P187" s="82"/>
      <c r="Q187" s="1121"/>
      <c r="S187"/>
      <c r="T187"/>
      <c r="U187"/>
      <c r="V187"/>
      <c r="W187"/>
      <c r="X187"/>
      <c r="Y187"/>
      <c r="Z187"/>
      <c r="AA187"/>
      <c r="AB187"/>
      <c r="AC187"/>
      <c r="AD187"/>
      <c r="AE187"/>
    </row>
    <row r="188" spans="2:32" ht="18" hidden="1" customHeight="1" outlineLevel="1">
      <c r="B188" s="1142" t="s">
        <v>817</v>
      </c>
      <c r="C188" s="1063" t="s">
        <v>824</v>
      </c>
      <c r="D188" s="674">
        <f t="shared" si="107"/>
        <v>20560</v>
      </c>
      <c r="E188" s="82">
        <v>6600</v>
      </c>
      <c r="F188" s="82">
        <v>2800</v>
      </c>
      <c r="G188" s="82">
        <v>3000</v>
      </c>
      <c r="H188" s="82">
        <v>800</v>
      </c>
      <c r="I188" s="82">
        <v>3000</v>
      </c>
      <c r="J188" s="82">
        <v>2020</v>
      </c>
      <c r="K188" s="82"/>
      <c r="L188" s="82">
        <v>800</v>
      </c>
      <c r="M188" s="82">
        <v>120</v>
      </c>
      <c r="N188" s="82">
        <v>1220</v>
      </c>
      <c r="O188" s="82">
        <f>480-380</f>
        <v>100</v>
      </c>
      <c r="P188" s="82">
        <f>1020-920</f>
        <v>100</v>
      </c>
      <c r="Q188" s="1122"/>
      <c r="S188"/>
      <c r="T188"/>
      <c r="U188"/>
      <c r="V188"/>
      <c r="W188"/>
      <c r="X188"/>
      <c r="Y188"/>
      <c r="Z188"/>
      <c r="AA188"/>
      <c r="AB188"/>
      <c r="AC188"/>
      <c r="AD188"/>
      <c r="AE188"/>
    </row>
    <row r="189" spans="2:32" ht="18" hidden="1" customHeight="1" outlineLevel="1">
      <c r="B189" s="1142" t="s">
        <v>817</v>
      </c>
      <c r="C189" s="1063" t="s">
        <v>825</v>
      </c>
      <c r="D189" s="1119">
        <f t="shared" si="107"/>
        <v>241004.375</v>
      </c>
      <c r="E189" s="82">
        <v>1906.25</v>
      </c>
      <c r="F189" s="82">
        <v>1543.125</v>
      </c>
      <c r="G189" s="82">
        <v>8000</v>
      </c>
      <c r="H189" s="82">
        <v>10000</v>
      </c>
      <c r="I189" s="82">
        <v>56000</v>
      </c>
      <c r="J189" s="82">
        <v>30000</v>
      </c>
      <c r="K189" s="82">
        <v>41535</v>
      </c>
      <c r="L189" s="82">
        <v>35500</v>
      </c>
      <c r="M189" s="82">
        <v>40400</v>
      </c>
      <c r="N189" s="82">
        <v>15880</v>
      </c>
      <c r="O189" s="82"/>
      <c r="P189" s="82">
        <v>240</v>
      </c>
      <c r="Q189" s="1122"/>
      <c r="S189"/>
      <c r="T189"/>
      <c r="U189"/>
      <c r="V189"/>
      <c r="W189"/>
      <c r="X189"/>
      <c r="Y189"/>
      <c r="Z189"/>
      <c r="AA189"/>
      <c r="AB189"/>
      <c r="AC189"/>
      <c r="AD189"/>
      <c r="AE189"/>
    </row>
    <row r="190" spans="2:32" ht="18" hidden="1" customHeight="1" outlineLevel="1">
      <c r="B190" s="1142" t="s">
        <v>817</v>
      </c>
      <c r="C190" s="1063" t="s">
        <v>829</v>
      </c>
      <c r="D190" s="1119">
        <f t="shared" si="107"/>
        <v>10282.5</v>
      </c>
      <c r="E190" s="82">
        <v>1125</v>
      </c>
      <c r="F190" s="82">
        <v>1162.5</v>
      </c>
      <c r="G190" s="82">
        <v>2250</v>
      </c>
      <c r="H190" s="82">
        <v>750</v>
      </c>
      <c r="I190" s="82">
        <v>750</v>
      </c>
      <c r="J190" s="82">
        <v>2250</v>
      </c>
      <c r="K190" s="82">
        <v>1125</v>
      </c>
      <c r="L190" s="82">
        <v>750</v>
      </c>
      <c r="M190" s="82"/>
      <c r="N190" s="82">
        <v>80</v>
      </c>
      <c r="O190" s="82">
        <v>20</v>
      </c>
      <c r="P190" s="82">
        <v>20</v>
      </c>
      <c r="Q190" s="1122"/>
      <c r="S190"/>
      <c r="T190"/>
      <c r="U190"/>
      <c r="V190"/>
      <c r="W190"/>
      <c r="X190"/>
      <c r="Y190"/>
      <c r="Z190"/>
      <c r="AA190"/>
      <c r="AB190"/>
      <c r="AC190"/>
      <c r="AD190"/>
      <c r="AE190"/>
    </row>
    <row r="191" spans="2:32" ht="18" hidden="1" customHeight="1" outlineLevel="1">
      <c r="B191" s="1142" t="s">
        <v>817</v>
      </c>
      <c r="C191" s="1063" t="s">
        <v>826</v>
      </c>
      <c r="D191" s="1119">
        <f t="shared" si="107"/>
        <v>708030</v>
      </c>
      <c r="E191" s="82">
        <v>79430</v>
      </c>
      <c r="F191" s="82"/>
      <c r="G191" s="82">
        <v>44090</v>
      </c>
      <c r="H191" s="82"/>
      <c r="I191" s="82">
        <v>64090</v>
      </c>
      <c r="J191" s="82">
        <v>190840</v>
      </c>
      <c r="K191" s="82">
        <v>68820</v>
      </c>
      <c r="L191" s="82">
        <v>22740</v>
      </c>
      <c r="M191" s="82">
        <v>32570</v>
      </c>
      <c r="N191" s="82">
        <v>34690</v>
      </c>
      <c r="O191" s="82">
        <v>29290</v>
      </c>
      <c r="P191" s="82">
        <v>141470</v>
      </c>
      <c r="Q191" s="1122"/>
      <c r="S191"/>
      <c r="T191"/>
      <c r="U191"/>
      <c r="V191"/>
      <c r="W191"/>
      <c r="X191"/>
      <c r="Y191"/>
      <c r="Z191"/>
      <c r="AA191"/>
      <c r="AB191"/>
      <c r="AC191"/>
      <c r="AD191"/>
      <c r="AE191"/>
    </row>
    <row r="192" spans="2:32" ht="18" hidden="1" customHeight="1" outlineLevel="1">
      <c r="B192" s="1142" t="s">
        <v>817</v>
      </c>
      <c r="C192" s="1063" t="s">
        <v>827</v>
      </c>
      <c r="D192" s="1119">
        <f t="shared" si="107"/>
        <v>94300</v>
      </c>
      <c r="E192" s="82"/>
      <c r="F192" s="82"/>
      <c r="G192" s="82"/>
      <c r="H192" s="82"/>
      <c r="I192" s="82">
        <v>8000</v>
      </c>
      <c r="J192" s="82">
        <v>44580</v>
      </c>
      <c r="K192" s="82">
        <v>14020</v>
      </c>
      <c r="L192" s="82">
        <v>12860</v>
      </c>
      <c r="M192" s="82">
        <v>800</v>
      </c>
      <c r="N192" s="82">
        <v>12320</v>
      </c>
      <c r="O192" s="82">
        <v>40</v>
      </c>
      <c r="P192" s="82">
        <v>1680</v>
      </c>
      <c r="Q192" s="1122"/>
      <c r="S192"/>
      <c r="T192"/>
      <c r="U192"/>
      <c r="V192"/>
      <c r="W192"/>
      <c r="X192"/>
      <c r="Y192"/>
      <c r="Z192"/>
      <c r="AA192"/>
      <c r="AB192"/>
      <c r="AC192"/>
      <c r="AD192"/>
      <c r="AE192"/>
    </row>
    <row r="193" spans="2:32" ht="18" hidden="1" customHeight="1" outlineLevel="1">
      <c r="B193" s="1142" t="s">
        <v>817</v>
      </c>
      <c r="C193" s="1063" t="s">
        <v>828</v>
      </c>
      <c r="D193" s="674">
        <f t="shared" si="107"/>
        <v>157000</v>
      </c>
      <c r="E193" s="82"/>
      <c r="F193" s="82"/>
      <c r="G193" s="82">
        <v>48140</v>
      </c>
      <c r="H193" s="82">
        <v>55500</v>
      </c>
      <c r="I193" s="82">
        <v>44000</v>
      </c>
      <c r="J193" s="82">
        <v>9360</v>
      </c>
      <c r="K193" s="82"/>
      <c r="L193" s="82"/>
      <c r="M193" s="82"/>
      <c r="N193" s="82"/>
      <c r="O193" s="82"/>
      <c r="P193" s="82"/>
      <c r="Q193" s="1121"/>
      <c r="S193"/>
      <c r="T193"/>
      <c r="U193"/>
      <c r="V193"/>
      <c r="W193"/>
      <c r="X193"/>
      <c r="Y193"/>
      <c r="Z193"/>
      <c r="AA193"/>
      <c r="AB193"/>
      <c r="AC193"/>
      <c r="AD193"/>
      <c r="AE193"/>
    </row>
    <row r="194" spans="2:32" ht="18" hidden="1" customHeight="1" outlineLevel="1">
      <c r="B194" s="1142" t="s">
        <v>817</v>
      </c>
      <c r="C194" s="1086" t="s">
        <v>830</v>
      </c>
      <c r="D194" s="480">
        <f t="shared" ref="D194:D198" si="108">IFERROR(AVERAGE(E194:P194),"")</f>
        <v>80</v>
      </c>
      <c r="E194" s="480">
        <v>80</v>
      </c>
      <c r="F194" s="480">
        <v>80</v>
      </c>
      <c r="G194" s="480">
        <v>80</v>
      </c>
      <c r="H194" s="480">
        <v>80</v>
      </c>
      <c r="I194" s="480">
        <v>80</v>
      </c>
      <c r="J194" s="480">
        <v>80</v>
      </c>
      <c r="K194" s="480">
        <v>80</v>
      </c>
      <c r="L194" s="480">
        <v>80</v>
      </c>
      <c r="M194" s="480">
        <v>80</v>
      </c>
      <c r="N194" s="480">
        <v>80</v>
      </c>
      <c r="O194" s="480">
        <v>80</v>
      </c>
      <c r="P194" s="480">
        <v>80</v>
      </c>
      <c r="S194"/>
      <c r="T194"/>
      <c r="U194"/>
      <c r="V194"/>
      <c r="W194"/>
      <c r="X194"/>
      <c r="Y194"/>
      <c r="Z194"/>
      <c r="AA194"/>
      <c r="AB194"/>
      <c r="AC194"/>
      <c r="AD194"/>
      <c r="AE194"/>
    </row>
    <row r="195" spans="2:32" ht="18" hidden="1" customHeight="1" outlineLevel="1">
      <c r="B195" s="1142" t="s">
        <v>817</v>
      </c>
      <c r="C195" s="1086" t="s">
        <v>831</v>
      </c>
      <c r="D195" s="480">
        <f t="shared" si="108"/>
        <v>40</v>
      </c>
      <c r="E195" s="480">
        <v>40</v>
      </c>
      <c r="F195" s="480">
        <v>40</v>
      </c>
      <c r="G195" s="480">
        <v>40</v>
      </c>
      <c r="H195" s="480">
        <v>40</v>
      </c>
      <c r="I195" s="480">
        <v>40</v>
      </c>
      <c r="J195" s="480">
        <v>40</v>
      </c>
      <c r="K195" s="480">
        <v>40</v>
      </c>
      <c r="L195" s="480">
        <v>40</v>
      </c>
      <c r="M195" s="480">
        <v>40</v>
      </c>
      <c r="N195" s="480">
        <v>40</v>
      </c>
      <c r="O195" s="480">
        <v>40</v>
      </c>
      <c r="P195" s="480">
        <v>40</v>
      </c>
      <c r="S195"/>
      <c r="T195"/>
      <c r="U195"/>
      <c r="V195"/>
      <c r="W195"/>
      <c r="X195"/>
      <c r="Y195"/>
      <c r="Z195"/>
      <c r="AA195"/>
      <c r="AB195"/>
      <c r="AC195"/>
      <c r="AD195"/>
      <c r="AE195"/>
    </row>
    <row r="196" spans="2:32" ht="18" hidden="1" customHeight="1" outlineLevel="1">
      <c r="B196" s="1142" t="s">
        <v>817</v>
      </c>
      <c r="C196" s="158" t="s">
        <v>832</v>
      </c>
      <c r="D196" s="480">
        <f t="shared" si="108"/>
        <v>1.1999999999999997</v>
      </c>
      <c r="E196" s="480">
        <v>1.2</v>
      </c>
      <c r="F196" s="480">
        <v>1.2</v>
      </c>
      <c r="G196" s="480">
        <v>1.2</v>
      </c>
      <c r="H196" s="480">
        <v>1.2</v>
      </c>
      <c r="I196" s="480">
        <v>1.2</v>
      </c>
      <c r="J196" s="480">
        <v>1.2</v>
      </c>
      <c r="K196" s="480">
        <v>1.2</v>
      </c>
      <c r="L196" s="480">
        <v>1.2</v>
      </c>
      <c r="M196" s="480">
        <v>1.2</v>
      </c>
      <c r="N196" s="480">
        <v>1.2</v>
      </c>
      <c r="O196" s="480">
        <v>1.2</v>
      </c>
      <c r="P196" s="480">
        <v>1.2</v>
      </c>
      <c r="S196"/>
      <c r="T196"/>
      <c r="U196"/>
      <c r="V196"/>
      <c r="W196"/>
      <c r="X196"/>
      <c r="Y196"/>
      <c r="Z196"/>
      <c r="AA196"/>
      <c r="AB196"/>
      <c r="AC196"/>
      <c r="AD196"/>
      <c r="AE196"/>
    </row>
    <row r="197" spans="2:32" ht="18" hidden="1" customHeight="1" outlineLevel="1">
      <c r="B197" s="1142" t="s">
        <v>817</v>
      </c>
      <c r="C197" s="158" t="s">
        <v>833</v>
      </c>
      <c r="D197" s="480">
        <f t="shared" si="108"/>
        <v>2</v>
      </c>
      <c r="E197" s="480">
        <v>2</v>
      </c>
      <c r="F197" s="480">
        <v>2</v>
      </c>
      <c r="G197" s="480">
        <v>2</v>
      </c>
      <c r="H197" s="480">
        <v>2</v>
      </c>
      <c r="I197" s="480">
        <v>2</v>
      </c>
      <c r="J197" s="480">
        <v>2</v>
      </c>
      <c r="K197" s="480">
        <v>2</v>
      </c>
      <c r="L197" s="480">
        <v>2</v>
      </c>
      <c r="M197" s="480">
        <v>2</v>
      </c>
      <c r="N197" s="480">
        <v>2</v>
      </c>
      <c r="O197" s="480">
        <v>2</v>
      </c>
      <c r="P197" s="480">
        <v>2</v>
      </c>
      <c r="S197"/>
      <c r="T197"/>
      <c r="U197"/>
      <c r="V197"/>
      <c r="W197"/>
      <c r="X197"/>
      <c r="Y197"/>
      <c r="Z197"/>
      <c r="AA197"/>
      <c r="AB197"/>
      <c r="AC197"/>
      <c r="AD197"/>
      <c r="AE197"/>
    </row>
    <row r="198" spans="2:32" ht="18" hidden="1" customHeight="1" outlineLevel="1">
      <c r="B198" s="1142" t="s">
        <v>817</v>
      </c>
      <c r="C198" s="158" t="s">
        <v>834</v>
      </c>
      <c r="D198" s="480">
        <f t="shared" si="108"/>
        <v>3.5</v>
      </c>
      <c r="E198" s="480">
        <v>3.5</v>
      </c>
      <c r="F198" s="480">
        <v>3.5</v>
      </c>
      <c r="G198" s="480">
        <v>3.5</v>
      </c>
      <c r="H198" s="480">
        <v>3.5</v>
      </c>
      <c r="I198" s="480">
        <v>3.5</v>
      </c>
      <c r="J198" s="480">
        <v>3.5</v>
      </c>
      <c r="K198" s="480">
        <v>3.5</v>
      </c>
      <c r="L198" s="480">
        <v>3.5</v>
      </c>
      <c r="M198" s="480">
        <v>3.5</v>
      </c>
      <c r="N198" s="480">
        <v>3.5</v>
      </c>
      <c r="O198" s="480">
        <v>3.5</v>
      </c>
      <c r="P198" s="480">
        <v>3.5</v>
      </c>
      <c r="S198"/>
      <c r="T198"/>
      <c r="U198"/>
      <c r="V198"/>
      <c r="W198"/>
      <c r="X198"/>
      <c r="Y198"/>
      <c r="Z198"/>
      <c r="AA198"/>
      <c r="AB198"/>
      <c r="AC198"/>
      <c r="AD198"/>
      <c r="AE198"/>
    </row>
    <row r="199" spans="2:32" ht="18" hidden="1" customHeight="1" outlineLevel="1">
      <c r="B199" s="1142" t="s">
        <v>817</v>
      </c>
      <c r="C199" s="158" t="s">
        <v>835</v>
      </c>
      <c r="D199" s="480">
        <f>IFERROR(AVERAGE(E199:P199),"")</f>
        <v>7</v>
      </c>
      <c r="E199" s="1123">
        <v>7</v>
      </c>
      <c r="F199" s="1123">
        <v>7</v>
      </c>
      <c r="G199" s="1123">
        <v>7</v>
      </c>
      <c r="H199" s="1123">
        <v>7</v>
      </c>
      <c r="I199" s="1123">
        <v>7</v>
      </c>
      <c r="J199" s="1123">
        <v>7</v>
      </c>
      <c r="K199" s="1123">
        <v>7</v>
      </c>
      <c r="L199" s="1123">
        <v>7</v>
      </c>
      <c r="M199" s="1123">
        <v>7</v>
      </c>
      <c r="N199" s="1123">
        <v>7</v>
      </c>
      <c r="O199" s="1123">
        <v>7</v>
      </c>
      <c r="P199" s="1123">
        <v>7</v>
      </c>
      <c r="S199"/>
      <c r="T199"/>
      <c r="U199"/>
      <c r="V199"/>
      <c r="W199"/>
      <c r="X199"/>
      <c r="Y199"/>
      <c r="Z199"/>
      <c r="AA199"/>
      <c r="AB199"/>
      <c r="AC199"/>
      <c r="AD199"/>
      <c r="AE199"/>
    </row>
    <row r="200" spans="2:32" s="1294" customFormat="1" ht="18" hidden="1" customHeight="1" collapsed="1">
      <c r="B200" s="1356" t="s">
        <v>817</v>
      </c>
      <c r="C200" s="1582" t="s">
        <v>736</v>
      </c>
      <c r="D200" s="1583">
        <f>IFERROR(SUM(E200:P200),"")</f>
        <v>5132715.25</v>
      </c>
      <c r="E200" s="1583">
        <f t="shared" ref="E200:P200" si="109">SUM(E201:E202)</f>
        <v>425147.5</v>
      </c>
      <c r="F200" s="1583">
        <f t="shared" si="109"/>
        <v>113851.75</v>
      </c>
      <c r="G200" s="1583">
        <f t="shared" si="109"/>
        <v>887560</v>
      </c>
      <c r="H200" s="1583">
        <f t="shared" si="109"/>
        <v>432500</v>
      </c>
      <c r="I200" s="1583">
        <f t="shared" si="109"/>
        <v>651380</v>
      </c>
      <c r="J200" s="1583">
        <f t="shared" si="109"/>
        <v>896030</v>
      </c>
      <c r="K200" s="1583">
        <f t="shared" si="109"/>
        <v>396552</v>
      </c>
      <c r="L200" s="1583">
        <f t="shared" si="109"/>
        <v>352290</v>
      </c>
      <c r="M200" s="1583">
        <f t="shared" si="109"/>
        <v>121220</v>
      </c>
      <c r="N200" s="1583">
        <f t="shared" si="109"/>
        <v>180356</v>
      </c>
      <c r="O200" s="1583">
        <f t="shared" si="109"/>
        <v>382720</v>
      </c>
      <c r="P200" s="1583">
        <f t="shared" si="109"/>
        <v>293108</v>
      </c>
      <c r="R200"/>
      <c r="S200"/>
      <c r="T200"/>
      <c r="U200"/>
      <c r="V200"/>
      <c r="W200"/>
      <c r="X200"/>
      <c r="Y200"/>
      <c r="Z200"/>
      <c r="AA200"/>
      <c r="AB200"/>
      <c r="AC200"/>
      <c r="AD200"/>
      <c r="AE200"/>
      <c r="AF200"/>
    </row>
    <row r="201" spans="2:32" ht="18" hidden="1" customHeight="1" outlineLevel="1">
      <c r="B201" s="1142" t="s">
        <v>817</v>
      </c>
      <c r="C201" s="158" t="s">
        <v>733</v>
      </c>
      <c r="D201" s="1037">
        <f>IF(SUM(E201:P201)&gt;0,SUM(E201:P201),"")</f>
        <v>1176000</v>
      </c>
      <c r="E201" s="1037">
        <f>(E203)</f>
        <v>0</v>
      </c>
      <c r="F201" s="1037">
        <f t="shared" ref="F201:P201" si="110">(F203)</f>
        <v>0</v>
      </c>
      <c r="G201" s="1037">
        <f t="shared" si="110"/>
        <v>332800</v>
      </c>
      <c r="H201" s="1037">
        <f t="shared" si="110"/>
        <v>0</v>
      </c>
      <c r="I201" s="1037">
        <f t="shared" si="110"/>
        <v>0</v>
      </c>
      <c r="J201" s="1037">
        <f t="shared" si="110"/>
        <v>176000</v>
      </c>
      <c r="K201" s="1037">
        <f t="shared" si="110"/>
        <v>160000</v>
      </c>
      <c r="L201" s="1037">
        <f t="shared" si="110"/>
        <v>187200</v>
      </c>
      <c r="M201" s="1037">
        <f t="shared" si="110"/>
        <v>0</v>
      </c>
      <c r="N201" s="1037">
        <f t="shared" si="110"/>
        <v>0</v>
      </c>
      <c r="O201" s="1037">
        <f t="shared" si="110"/>
        <v>320000</v>
      </c>
      <c r="P201" s="1037">
        <f t="shared" si="110"/>
        <v>0</v>
      </c>
      <c r="S201"/>
      <c r="T201"/>
      <c r="U201"/>
      <c r="V201"/>
      <c r="W201"/>
      <c r="X201"/>
      <c r="Y201"/>
      <c r="Z201"/>
      <c r="AA201"/>
      <c r="AB201"/>
      <c r="AC201"/>
      <c r="AD201"/>
      <c r="AE201"/>
    </row>
    <row r="202" spans="2:32" ht="18" hidden="1" customHeight="1" outlineLevel="1">
      <c r="B202" s="1142" t="s">
        <v>817</v>
      </c>
      <c r="C202" s="158" t="s">
        <v>842</v>
      </c>
      <c r="D202" s="1037">
        <f>IF(SUM(E202:P202)&gt;0,SUM(E202:P202),"")</f>
        <v>3956715.25</v>
      </c>
      <c r="E202" s="1037">
        <f>(E204+E205+E206+E207+E208)</f>
        <v>425147.5</v>
      </c>
      <c r="F202" s="1037">
        <f t="shared" ref="F202:P202" si="111">(F204+F205+F206+F207+F208)</f>
        <v>113851.75</v>
      </c>
      <c r="G202" s="1037">
        <f t="shared" si="111"/>
        <v>554760</v>
      </c>
      <c r="H202" s="1037">
        <f t="shared" si="111"/>
        <v>432500</v>
      </c>
      <c r="I202" s="1037">
        <f t="shared" si="111"/>
        <v>651380</v>
      </c>
      <c r="J202" s="1037">
        <f t="shared" si="111"/>
        <v>720030</v>
      </c>
      <c r="K202" s="1037">
        <f t="shared" si="111"/>
        <v>236552</v>
      </c>
      <c r="L202" s="1037">
        <f t="shared" si="111"/>
        <v>165090</v>
      </c>
      <c r="M202" s="1037">
        <f t="shared" si="111"/>
        <v>121220</v>
      </c>
      <c r="N202" s="1037">
        <f t="shared" si="111"/>
        <v>180356</v>
      </c>
      <c r="O202" s="1037">
        <f t="shared" si="111"/>
        <v>62720</v>
      </c>
      <c r="P202" s="1037">
        <f t="shared" si="111"/>
        <v>293108</v>
      </c>
      <c r="S202"/>
      <c r="T202"/>
      <c r="U202"/>
      <c r="V202"/>
      <c r="W202"/>
      <c r="X202"/>
      <c r="Y202"/>
      <c r="Z202"/>
      <c r="AA202"/>
      <c r="AB202"/>
      <c r="AC202"/>
      <c r="AD202"/>
      <c r="AE202"/>
    </row>
    <row r="203" spans="2:32" ht="18" hidden="1" customHeight="1" outlineLevel="1">
      <c r="B203" s="1142" t="s">
        <v>817</v>
      </c>
      <c r="C203" s="158" t="s">
        <v>836</v>
      </c>
      <c r="D203" s="1037">
        <f>IF(SUM(E203:P203)&gt;0,SUM(E203:P203),"")</f>
        <v>1176000</v>
      </c>
      <c r="E203" s="1037">
        <f t="shared" ref="E203:P205" si="112">(E194*E187)</f>
        <v>0</v>
      </c>
      <c r="F203" s="1037">
        <f t="shared" si="112"/>
        <v>0</v>
      </c>
      <c r="G203" s="1037">
        <f t="shared" si="112"/>
        <v>332800</v>
      </c>
      <c r="H203" s="1037">
        <f t="shared" si="112"/>
        <v>0</v>
      </c>
      <c r="I203" s="1037">
        <f t="shared" si="112"/>
        <v>0</v>
      </c>
      <c r="J203" s="1037">
        <f t="shared" si="112"/>
        <v>176000</v>
      </c>
      <c r="K203" s="1037">
        <f t="shared" si="112"/>
        <v>160000</v>
      </c>
      <c r="L203" s="1037">
        <f t="shared" si="112"/>
        <v>187200</v>
      </c>
      <c r="M203" s="1037">
        <f t="shared" si="112"/>
        <v>0</v>
      </c>
      <c r="N203" s="1037">
        <f t="shared" si="112"/>
        <v>0</v>
      </c>
      <c r="O203" s="1037">
        <f t="shared" si="112"/>
        <v>320000</v>
      </c>
      <c r="P203" s="1037">
        <f t="shared" si="112"/>
        <v>0</v>
      </c>
      <c r="S203"/>
      <c r="T203"/>
      <c r="U203"/>
      <c r="V203"/>
      <c r="W203"/>
      <c r="X203"/>
      <c r="Y203"/>
      <c r="Z203"/>
      <c r="AA203"/>
      <c r="AB203"/>
      <c r="AC203"/>
      <c r="AD203"/>
      <c r="AE203"/>
    </row>
    <row r="204" spans="2:32" ht="18" hidden="1" customHeight="1" outlineLevel="1">
      <c r="B204" s="1142" t="s">
        <v>817</v>
      </c>
      <c r="C204" s="158" t="s">
        <v>841</v>
      </c>
      <c r="D204" s="1037">
        <f>IF(SUM(E204:P204)&gt;0,SUM(E204:P204),"")</f>
        <v>822400</v>
      </c>
      <c r="E204" s="1037">
        <f t="shared" si="112"/>
        <v>264000</v>
      </c>
      <c r="F204" s="1037">
        <f t="shared" si="112"/>
        <v>112000</v>
      </c>
      <c r="G204" s="1037">
        <f t="shared" si="112"/>
        <v>120000</v>
      </c>
      <c r="H204" s="1037">
        <f t="shared" si="112"/>
        <v>32000</v>
      </c>
      <c r="I204" s="1037">
        <f t="shared" si="112"/>
        <v>120000</v>
      </c>
      <c r="J204" s="1037">
        <f t="shared" si="112"/>
        <v>80800</v>
      </c>
      <c r="K204" s="1037">
        <f t="shared" si="112"/>
        <v>0</v>
      </c>
      <c r="L204" s="1037">
        <f t="shared" si="112"/>
        <v>32000</v>
      </c>
      <c r="M204" s="1037">
        <f t="shared" si="112"/>
        <v>4800</v>
      </c>
      <c r="N204" s="1037">
        <f t="shared" si="112"/>
        <v>48800</v>
      </c>
      <c r="O204" s="1037">
        <f t="shared" si="112"/>
        <v>4000</v>
      </c>
      <c r="P204" s="1037">
        <f t="shared" si="112"/>
        <v>4000</v>
      </c>
      <c r="S204"/>
      <c r="T204"/>
      <c r="U204"/>
      <c r="V204"/>
      <c r="W204"/>
      <c r="X204"/>
      <c r="Y204"/>
      <c r="Z204"/>
      <c r="AA204"/>
      <c r="AB204"/>
      <c r="AC204"/>
      <c r="AD204"/>
      <c r="AE204"/>
    </row>
    <row r="205" spans="2:32" ht="18" hidden="1" customHeight="1" outlineLevel="1">
      <c r="B205" s="1142" t="s">
        <v>817</v>
      </c>
      <c r="C205" s="158" t="s">
        <v>837</v>
      </c>
      <c r="D205" s="1037">
        <f t="shared" ref="D205:D208" si="113">IF(SUM(E205:P205)&gt;0,SUM(E205:P205),"")</f>
        <v>289205.25</v>
      </c>
      <c r="E205" s="1037">
        <f t="shared" si="112"/>
        <v>2287.5</v>
      </c>
      <c r="F205" s="1037">
        <f t="shared" si="112"/>
        <v>1851.75</v>
      </c>
      <c r="G205" s="1037">
        <f t="shared" si="112"/>
        <v>9600</v>
      </c>
      <c r="H205" s="1037">
        <f t="shared" si="112"/>
        <v>12000</v>
      </c>
      <c r="I205" s="1037">
        <f t="shared" si="112"/>
        <v>67200</v>
      </c>
      <c r="J205" s="1037">
        <f t="shared" si="112"/>
        <v>36000</v>
      </c>
      <c r="K205" s="1037">
        <f t="shared" si="112"/>
        <v>49842</v>
      </c>
      <c r="L205" s="1037">
        <f t="shared" si="112"/>
        <v>42600</v>
      </c>
      <c r="M205" s="1037">
        <f t="shared" si="112"/>
        <v>48480</v>
      </c>
      <c r="N205" s="1037">
        <f t="shared" si="112"/>
        <v>19056</v>
      </c>
      <c r="O205" s="1037">
        <f t="shared" si="112"/>
        <v>0</v>
      </c>
      <c r="P205" s="1037">
        <f t="shared" si="112"/>
        <v>288</v>
      </c>
      <c r="S205"/>
      <c r="T205"/>
      <c r="U205"/>
      <c r="V205"/>
      <c r="W205"/>
      <c r="X205"/>
      <c r="Y205"/>
      <c r="Z205"/>
      <c r="AA205"/>
      <c r="AB205"/>
      <c r="AC205"/>
      <c r="AD205"/>
      <c r="AE205"/>
    </row>
    <row r="206" spans="2:32" ht="18" hidden="1" customHeight="1" outlineLevel="1">
      <c r="B206" s="1142" t="s">
        <v>817</v>
      </c>
      <c r="C206" s="158" t="s">
        <v>838</v>
      </c>
      <c r="D206" s="1037">
        <f t="shared" si="113"/>
        <v>1416060</v>
      </c>
      <c r="E206" s="1037">
        <f t="shared" ref="E206:P208" si="114">(E197*E191)</f>
        <v>158860</v>
      </c>
      <c r="F206" s="1037">
        <f t="shared" si="114"/>
        <v>0</v>
      </c>
      <c r="G206" s="1037">
        <f t="shared" si="114"/>
        <v>88180</v>
      </c>
      <c r="H206" s="1037">
        <f t="shared" si="114"/>
        <v>0</v>
      </c>
      <c r="I206" s="1037">
        <f t="shared" si="114"/>
        <v>128180</v>
      </c>
      <c r="J206" s="1037">
        <f t="shared" si="114"/>
        <v>381680</v>
      </c>
      <c r="K206" s="1037">
        <f t="shared" si="114"/>
        <v>137640</v>
      </c>
      <c r="L206" s="1037">
        <f t="shared" si="114"/>
        <v>45480</v>
      </c>
      <c r="M206" s="1037">
        <f t="shared" si="114"/>
        <v>65140</v>
      </c>
      <c r="N206" s="1037">
        <f t="shared" si="114"/>
        <v>69380</v>
      </c>
      <c r="O206" s="1037">
        <f t="shared" si="114"/>
        <v>58580</v>
      </c>
      <c r="P206" s="1037">
        <f t="shared" si="114"/>
        <v>282940</v>
      </c>
      <c r="S206"/>
      <c r="T206"/>
      <c r="U206"/>
      <c r="V206"/>
      <c r="W206"/>
      <c r="X206"/>
      <c r="Y206"/>
      <c r="Z206"/>
      <c r="AA206"/>
      <c r="AB206"/>
      <c r="AC206"/>
      <c r="AD206"/>
      <c r="AE206"/>
    </row>
    <row r="207" spans="2:32" ht="18" hidden="1" customHeight="1" outlineLevel="1">
      <c r="B207" s="1142" t="s">
        <v>817</v>
      </c>
      <c r="C207" s="158" t="s">
        <v>839</v>
      </c>
      <c r="D207" s="1037">
        <f t="shared" si="113"/>
        <v>330050</v>
      </c>
      <c r="E207" s="1037">
        <f t="shared" si="114"/>
        <v>0</v>
      </c>
      <c r="F207" s="1037">
        <f t="shared" si="114"/>
        <v>0</v>
      </c>
      <c r="G207" s="1037">
        <f t="shared" si="114"/>
        <v>0</v>
      </c>
      <c r="H207" s="1037">
        <f t="shared" si="114"/>
        <v>0</v>
      </c>
      <c r="I207" s="1037">
        <f t="shared" si="114"/>
        <v>28000</v>
      </c>
      <c r="J207" s="1037">
        <f t="shared" si="114"/>
        <v>156030</v>
      </c>
      <c r="K207" s="1037">
        <f t="shared" si="114"/>
        <v>49070</v>
      </c>
      <c r="L207" s="1037">
        <f t="shared" si="114"/>
        <v>45010</v>
      </c>
      <c r="M207" s="1037">
        <f t="shared" si="114"/>
        <v>2800</v>
      </c>
      <c r="N207" s="1037">
        <f t="shared" si="114"/>
        <v>43120</v>
      </c>
      <c r="O207" s="1037">
        <f t="shared" si="114"/>
        <v>140</v>
      </c>
      <c r="P207" s="1037">
        <f t="shared" si="114"/>
        <v>5880</v>
      </c>
      <c r="S207"/>
      <c r="T207"/>
      <c r="U207"/>
      <c r="V207"/>
      <c r="W207"/>
      <c r="X207"/>
      <c r="Y207"/>
      <c r="Z207"/>
      <c r="AA207"/>
      <c r="AB207"/>
      <c r="AC207"/>
      <c r="AD207"/>
      <c r="AE207"/>
    </row>
    <row r="208" spans="2:32" ht="18" hidden="1" customHeight="1" outlineLevel="1">
      <c r="B208" s="1142" t="s">
        <v>817</v>
      </c>
      <c r="C208" s="158" t="s">
        <v>840</v>
      </c>
      <c r="D208" s="1037">
        <f t="shared" si="113"/>
        <v>1099000</v>
      </c>
      <c r="E208" s="1037">
        <f>(E199*E193)</f>
        <v>0</v>
      </c>
      <c r="F208" s="1037">
        <f t="shared" si="114"/>
        <v>0</v>
      </c>
      <c r="G208" s="1037">
        <f t="shared" si="114"/>
        <v>336980</v>
      </c>
      <c r="H208" s="1037">
        <f t="shared" si="114"/>
        <v>388500</v>
      </c>
      <c r="I208" s="1037">
        <f t="shared" si="114"/>
        <v>308000</v>
      </c>
      <c r="J208" s="1037">
        <f t="shared" si="114"/>
        <v>65520</v>
      </c>
      <c r="K208" s="1037">
        <f t="shared" si="114"/>
        <v>0</v>
      </c>
      <c r="L208" s="1037">
        <f t="shared" si="114"/>
        <v>0</v>
      </c>
      <c r="M208" s="1037">
        <f t="shared" si="114"/>
        <v>0</v>
      </c>
      <c r="N208" s="1037">
        <f t="shared" si="114"/>
        <v>0</v>
      </c>
      <c r="O208" s="1037">
        <f t="shared" si="114"/>
        <v>0</v>
      </c>
      <c r="P208" s="1037">
        <f t="shared" si="114"/>
        <v>0</v>
      </c>
      <c r="S208"/>
      <c r="T208"/>
      <c r="U208"/>
      <c r="V208"/>
      <c r="W208"/>
      <c r="X208"/>
      <c r="Y208"/>
      <c r="Z208"/>
      <c r="AA208"/>
      <c r="AB208"/>
      <c r="AC208"/>
      <c r="AD208"/>
      <c r="AE208"/>
    </row>
    <row r="209" spans="2:32" s="1294" customFormat="1" ht="18" hidden="1" customHeight="1" collapsed="1">
      <c r="B209" s="1356" t="s">
        <v>817</v>
      </c>
      <c r="C209" s="1582" t="s">
        <v>738</v>
      </c>
      <c r="D209" s="1593">
        <f>IFERROR(SUM(E209:P209),"")</f>
        <v>3403982.4611080009</v>
      </c>
      <c r="E209" s="1593">
        <f t="shared" ref="E209:P209" si="115">SUM(E210:E218)</f>
        <v>523263.27960285707</v>
      </c>
      <c r="F209" s="1593">
        <f t="shared" si="115"/>
        <v>129196.03961531099</v>
      </c>
      <c r="G209" s="1593">
        <f t="shared" si="115"/>
        <v>445212.80894988263</v>
      </c>
      <c r="H209" s="1593">
        <f t="shared" si="115"/>
        <v>353481.25661055237</v>
      </c>
      <c r="I209" s="1593">
        <f t="shared" si="115"/>
        <v>475704.16953340254</v>
      </c>
      <c r="J209" s="1593">
        <f t="shared" si="115"/>
        <v>217436.89527698632</v>
      </c>
      <c r="K209" s="1593">
        <f t="shared" si="115"/>
        <v>679973.07960228587</v>
      </c>
      <c r="L209" s="1593">
        <f t="shared" si="115"/>
        <v>169563.1174600072</v>
      </c>
      <c r="M209" s="1593">
        <f t="shared" si="115"/>
        <v>103722.51000000001</v>
      </c>
      <c r="N209" s="1593">
        <f t="shared" si="115"/>
        <v>90346.46</v>
      </c>
      <c r="O209" s="1593">
        <f t="shared" si="115"/>
        <v>146608.53017100142</v>
      </c>
      <c r="P209" s="1593">
        <f t="shared" si="115"/>
        <v>69474.314285714296</v>
      </c>
      <c r="R209"/>
      <c r="S209"/>
      <c r="T209"/>
      <c r="U209"/>
      <c r="V209"/>
      <c r="W209"/>
      <c r="X209"/>
      <c r="Y209"/>
      <c r="Z209"/>
      <c r="AA209"/>
      <c r="AB209"/>
      <c r="AC209"/>
      <c r="AD209"/>
      <c r="AE209"/>
      <c r="AF209"/>
    </row>
    <row r="210" spans="2:32" ht="18" hidden="1" customHeight="1" outlineLevel="1">
      <c r="B210" s="1142" t="s">
        <v>817</v>
      </c>
      <c r="C210" s="1110" t="s">
        <v>767</v>
      </c>
      <c r="D210" s="1041">
        <f t="shared" ref="D210:D213" si="116">IF(SUM(E210:P210)&gt;0,SUM(E210:P210),"")</f>
        <v>2383798.5311080008</v>
      </c>
      <c r="E210" s="1038">
        <v>442877.6796028571</v>
      </c>
      <c r="F210" s="1038">
        <v>41006.829615311006</v>
      </c>
      <c r="G210" s="1038">
        <v>362333.42894988263</v>
      </c>
      <c r="H210" s="1038">
        <v>284010.07661055238</v>
      </c>
      <c r="I210" s="1038">
        <v>415748.08953340258</v>
      </c>
      <c r="J210" s="1038">
        <v>115610.43527698632</v>
      </c>
      <c r="K210" s="1038">
        <v>593667.39960228582</v>
      </c>
      <c r="L210" s="1038">
        <v>54906.557460007207</v>
      </c>
      <c r="M210" s="1038">
        <v>7500</v>
      </c>
      <c r="N210" s="1038">
        <v>2500</v>
      </c>
      <c r="O210" s="1038">
        <v>59718.320171001433</v>
      </c>
      <c r="P210" s="1038">
        <v>3919.7142857142858</v>
      </c>
      <c r="S210"/>
      <c r="T210"/>
      <c r="U210"/>
      <c r="V210"/>
      <c r="W210"/>
      <c r="X210"/>
      <c r="Y210"/>
      <c r="Z210"/>
      <c r="AA210"/>
      <c r="AB210"/>
      <c r="AC210"/>
      <c r="AD210"/>
      <c r="AE210"/>
    </row>
    <row r="211" spans="2:32" ht="18" hidden="1" customHeight="1" outlineLevel="1">
      <c r="B211" s="1142" t="s">
        <v>817</v>
      </c>
      <c r="C211" s="1110" t="s">
        <v>845</v>
      </c>
      <c r="D211" s="1041">
        <f t="shared" si="116"/>
        <v>24947</v>
      </c>
      <c r="E211" s="1038">
        <v>2080</v>
      </c>
      <c r="F211" s="1038">
        <v>2218</v>
      </c>
      <c r="G211" s="1038">
        <v>2309</v>
      </c>
      <c r="H211" s="1038"/>
      <c r="I211" s="1038">
        <v>2466</v>
      </c>
      <c r="J211" s="1038">
        <v>2290</v>
      </c>
      <c r="K211" s="1038">
        <v>2080</v>
      </c>
      <c r="L211" s="1038">
        <v>2346</v>
      </c>
      <c r="M211" s="1038">
        <v>2333.4</v>
      </c>
      <c r="N211" s="1038">
        <v>2360</v>
      </c>
      <c r="O211" s="1038">
        <v>2424.6</v>
      </c>
      <c r="P211" s="1038">
        <v>2040</v>
      </c>
      <c r="S211"/>
      <c r="T211"/>
      <c r="U211"/>
      <c r="V211"/>
      <c r="W211"/>
      <c r="X211"/>
      <c r="Y211"/>
      <c r="Z211"/>
      <c r="AA211"/>
      <c r="AB211"/>
      <c r="AC211"/>
      <c r="AD211"/>
      <c r="AE211"/>
    </row>
    <row r="212" spans="2:32" ht="18" hidden="1" customHeight="1" outlineLevel="1">
      <c r="B212" s="1142" t="s">
        <v>817</v>
      </c>
      <c r="C212" s="1110" t="s">
        <v>843</v>
      </c>
      <c r="D212" s="1041">
        <f t="shared" si="116"/>
        <v>36071.629999999997</v>
      </c>
      <c r="E212" s="1036"/>
      <c r="F212" s="1036"/>
      <c r="G212" s="1038"/>
      <c r="H212" s="1038"/>
      <c r="I212" s="1036"/>
      <c r="J212" s="1038"/>
      <c r="K212" s="1038">
        <v>3623.5</v>
      </c>
      <c r="L212" s="1038">
        <v>2013.41</v>
      </c>
      <c r="M212" s="1038">
        <v>531</v>
      </c>
      <c r="N212" s="1038">
        <v>18663.669999999998</v>
      </c>
      <c r="O212" s="1038">
        <v>960</v>
      </c>
      <c r="P212" s="1038">
        <v>10280.049999999999</v>
      </c>
      <c r="S212"/>
      <c r="T212"/>
      <c r="U212"/>
      <c r="V212"/>
      <c r="W212"/>
      <c r="X212"/>
      <c r="Y212"/>
      <c r="Z212"/>
      <c r="AA212"/>
      <c r="AB212"/>
      <c r="AC212"/>
      <c r="AD212"/>
      <c r="AE212"/>
    </row>
    <row r="213" spans="2:32" ht="18" hidden="1" customHeight="1" outlineLevel="1">
      <c r="B213" s="1142" t="s">
        <v>817</v>
      </c>
      <c r="C213" s="1110" t="s">
        <v>844</v>
      </c>
      <c r="D213" s="1041">
        <f t="shared" si="116"/>
        <v>232</v>
      </c>
      <c r="E213" s="1036"/>
      <c r="F213" s="1036"/>
      <c r="G213" s="1038"/>
      <c r="H213" s="1038"/>
      <c r="I213" s="1036"/>
      <c r="J213" s="1038"/>
      <c r="K213" s="1038"/>
      <c r="L213" s="1038"/>
      <c r="M213" s="1038">
        <v>232</v>
      </c>
      <c r="N213" s="1038"/>
      <c r="O213" s="1038"/>
      <c r="P213" s="1038"/>
      <c r="S213"/>
      <c r="T213"/>
      <c r="U213"/>
      <c r="V213"/>
      <c r="W213"/>
      <c r="X213"/>
      <c r="Y213"/>
      <c r="Z213"/>
      <c r="AA213"/>
      <c r="AB213"/>
      <c r="AC213"/>
      <c r="AD213"/>
      <c r="AE213"/>
    </row>
    <row r="214" spans="2:32" ht="18" hidden="1" customHeight="1" outlineLevel="1">
      <c r="B214" s="1142" t="s">
        <v>817</v>
      </c>
      <c r="C214" s="1110" t="s">
        <v>726</v>
      </c>
      <c r="D214" s="1041">
        <f t="shared" ref="D214:D218" si="117">IF(SUM(E214:P214)&gt;0,SUM(E214:P214),"")</f>
        <v>34112.080000000002</v>
      </c>
      <c r="E214" s="1036"/>
      <c r="F214" s="1036"/>
      <c r="G214" s="1038"/>
      <c r="H214" s="1038"/>
      <c r="I214" s="1036"/>
      <c r="J214" s="1038"/>
      <c r="K214" s="1038"/>
      <c r="L214" s="1038">
        <v>3748.66</v>
      </c>
      <c r="M214" s="1038">
        <v>24987.68</v>
      </c>
      <c r="N214" s="1038">
        <v>1219.1400000000001</v>
      </c>
      <c r="O214" s="1038">
        <v>2104.52</v>
      </c>
      <c r="P214" s="1038">
        <v>2052.08</v>
      </c>
      <c r="S214"/>
      <c r="T214"/>
      <c r="U214"/>
      <c r="V214"/>
      <c r="W214"/>
      <c r="X214"/>
      <c r="Y214"/>
      <c r="Z214"/>
      <c r="AA214"/>
      <c r="AB214"/>
      <c r="AC214"/>
      <c r="AD214"/>
      <c r="AE214"/>
    </row>
    <row r="215" spans="2:32" ht="18" hidden="1" customHeight="1" outlineLevel="1">
      <c r="B215" s="1142"/>
      <c r="C215" s="1110" t="s">
        <v>845</v>
      </c>
      <c r="D215" s="1041">
        <f t="shared" si="117"/>
        <v>24947</v>
      </c>
      <c r="E215" s="1038">
        <v>2080</v>
      </c>
      <c r="F215" s="1038">
        <v>2218</v>
      </c>
      <c r="G215" s="1038">
        <v>2309</v>
      </c>
      <c r="H215" s="1038"/>
      <c r="I215" s="1038">
        <v>2466</v>
      </c>
      <c r="J215" s="1038">
        <v>2290</v>
      </c>
      <c r="K215" s="1038">
        <v>2080</v>
      </c>
      <c r="L215" s="1038">
        <v>2346</v>
      </c>
      <c r="M215" s="1038">
        <v>2333.4</v>
      </c>
      <c r="N215" s="1038">
        <v>2360</v>
      </c>
      <c r="O215" s="1038">
        <v>2424.6</v>
      </c>
      <c r="P215" s="1038">
        <v>2040</v>
      </c>
      <c r="S215"/>
      <c r="T215"/>
      <c r="U215"/>
      <c r="V215"/>
      <c r="W215"/>
      <c r="X215"/>
      <c r="Y215"/>
      <c r="Z215"/>
      <c r="AA215"/>
      <c r="AB215"/>
      <c r="AC215"/>
      <c r="AD215"/>
      <c r="AE215"/>
    </row>
    <row r="216" spans="2:32" ht="18" hidden="1" customHeight="1" outlineLevel="1">
      <c r="B216" s="1142" t="s">
        <v>817</v>
      </c>
      <c r="C216" s="1111" t="s">
        <v>717</v>
      </c>
      <c r="D216" s="1041">
        <f t="shared" si="117"/>
        <v>62461.2</v>
      </c>
      <c r="E216" s="1037">
        <v>879.6</v>
      </c>
      <c r="F216" s="1037">
        <v>2764</v>
      </c>
      <c r="G216" s="1037">
        <v>4125.2</v>
      </c>
      <c r="H216" s="1037">
        <v>4736</v>
      </c>
      <c r="I216" s="1037">
        <v>11938.6</v>
      </c>
      <c r="J216" s="1037">
        <v>5169.2</v>
      </c>
      <c r="K216" s="1038">
        <v>7950.7999999999993</v>
      </c>
      <c r="L216" s="1038">
        <v>2914.7999999999997</v>
      </c>
      <c r="M216" s="1038">
        <v>7181</v>
      </c>
      <c r="N216" s="1038">
        <v>899.59999999999991</v>
      </c>
      <c r="O216" s="1038">
        <v>8055.2000000000007</v>
      </c>
      <c r="P216" s="1038">
        <v>5847.2</v>
      </c>
      <c r="S216"/>
      <c r="T216"/>
      <c r="U216"/>
      <c r="V216"/>
      <c r="W216"/>
      <c r="X216"/>
      <c r="Y216"/>
      <c r="Z216"/>
      <c r="AA216"/>
      <c r="AB216"/>
      <c r="AC216"/>
      <c r="AD216"/>
      <c r="AE216"/>
    </row>
    <row r="217" spans="2:32" ht="18" hidden="1" customHeight="1" outlineLevel="1">
      <c r="B217" s="1142" t="s">
        <v>817</v>
      </c>
      <c r="C217" s="1110" t="s">
        <v>718</v>
      </c>
      <c r="D217" s="1041">
        <f t="shared" si="117"/>
        <v>656791.41000000015</v>
      </c>
      <c r="E217" s="1038">
        <v>75346</v>
      </c>
      <c r="F217" s="1038">
        <v>55962</v>
      </c>
      <c r="G217" s="1038">
        <v>63596</v>
      </c>
      <c r="H217" s="1038">
        <v>43457.32</v>
      </c>
      <c r="I217" s="1038">
        <v>36050</v>
      </c>
      <c r="J217" s="1038">
        <v>68974</v>
      </c>
      <c r="K217" s="1038">
        <v>60540</v>
      </c>
      <c r="L217" s="1038">
        <v>73484</v>
      </c>
      <c r="M217" s="1038">
        <v>49016</v>
      </c>
      <c r="N217" s="1038">
        <v>40788.660000000003</v>
      </c>
      <c r="O217" s="1038">
        <v>63022.43</v>
      </c>
      <c r="P217" s="1038">
        <v>26555</v>
      </c>
      <c r="S217"/>
      <c r="T217"/>
      <c r="U217"/>
      <c r="V217"/>
      <c r="W217"/>
      <c r="X217"/>
      <c r="Y217"/>
      <c r="Z217"/>
      <c r="AA217"/>
      <c r="AB217"/>
      <c r="AC217"/>
      <c r="AD217"/>
      <c r="AE217"/>
    </row>
    <row r="218" spans="2:32" ht="18" hidden="1" customHeight="1" outlineLevel="1">
      <c r="B218" s="1142" t="s">
        <v>817</v>
      </c>
      <c r="C218" s="1111" t="s">
        <v>719</v>
      </c>
      <c r="D218" s="1041">
        <f t="shared" si="117"/>
        <v>180621.60999999996</v>
      </c>
      <c r="E218" s="1037"/>
      <c r="F218" s="1037">
        <v>25027.209999999985</v>
      </c>
      <c r="G218" s="1037">
        <v>10540.18</v>
      </c>
      <c r="H218" s="1037">
        <v>21277.86</v>
      </c>
      <c r="I218" s="1037">
        <v>7035.4800000000005</v>
      </c>
      <c r="J218" s="1037">
        <v>23103.260000000002</v>
      </c>
      <c r="K218" s="1038">
        <v>10031.379999999999</v>
      </c>
      <c r="L218" s="1038">
        <v>27803.690000000006</v>
      </c>
      <c r="M218" s="1038">
        <v>9608.0299999999988</v>
      </c>
      <c r="N218" s="1038">
        <v>21555.39</v>
      </c>
      <c r="O218" s="1038">
        <v>7898.86</v>
      </c>
      <c r="P218" s="1038">
        <v>16740.27</v>
      </c>
      <c r="S218"/>
      <c r="T218"/>
      <c r="U218"/>
      <c r="V218"/>
      <c r="W218"/>
      <c r="X218"/>
      <c r="Y218"/>
      <c r="Z218"/>
      <c r="AA218"/>
      <c r="AB218"/>
      <c r="AC218"/>
      <c r="AD218"/>
      <c r="AE218"/>
    </row>
    <row r="219" spans="2:32" s="1294" customFormat="1" ht="18" hidden="1" customHeight="1" collapsed="1" thickBot="1">
      <c r="B219" s="1356" t="s">
        <v>817</v>
      </c>
      <c r="C219" s="1346" t="s">
        <v>716</v>
      </c>
      <c r="D219" s="1044">
        <f>IFERROR(SUM(E219:P219),"")</f>
        <v>1728732.7888919995</v>
      </c>
      <c r="E219" s="1044">
        <f t="shared" ref="E219:P219" si="118">(E200-E209)</f>
        <v>-98115.779602857074</v>
      </c>
      <c r="F219" s="1044">
        <f t="shared" si="118"/>
        <v>-15344.28961531099</v>
      </c>
      <c r="G219" s="1044">
        <f t="shared" si="118"/>
        <v>442347.19105011737</v>
      </c>
      <c r="H219" s="1044">
        <f t="shared" si="118"/>
        <v>79018.743389447627</v>
      </c>
      <c r="I219" s="1044">
        <f t="shared" si="118"/>
        <v>175675.83046659746</v>
      </c>
      <c r="J219" s="1044">
        <f t="shared" si="118"/>
        <v>678593.1047230137</v>
      </c>
      <c r="K219" s="1044">
        <f t="shared" si="118"/>
        <v>-283421.07960228587</v>
      </c>
      <c r="L219" s="1044">
        <f t="shared" si="118"/>
        <v>182726.8825399928</v>
      </c>
      <c r="M219" s="1044">
        <f t="shared" si="118"/>
        <v>17497.489999999991</v>
      </c>
      <c r="N219" s="1044">
        <f t="shared" si="118"/>
        <v>90009.54</v>
      </c>
      <c r="O219" s="1044">
        <f t="shared" si="118"/>
        <v>236111.46982899858</v>
      </c>
      <c r="P219" s="1044">
        <f t="shared" si="118"/>
        <v>223633.6857142857</v>
      </c>
      <c r="R219"/>
      <c r="S219"/>
      <c r="T219"/>
      <c r="U219"/>
      <c r="V219"/>
      <c r="W219"/>
      <c r="X219"/>
      <c r="Y219"/>
      <c r="Z219"/>
      <c r="AA219"/>
      <c r="AB219"/>
      <c r="AC219"/>
      <c r="AD219"/>
      <c r="AE219"/>
      <c r="AF219"/>
    </row>
    <row r="220" spans="2:32" s="1294" customFormat="1" ht="15.75" hidden="1" outlineLevel="1" thickTop="1">
      <c r="B220" s="1142" t="s">
        <v>817</v>
      </c>
      <c r="C220" s="1049"/>
      <c r="D220" s="1049">
        <f t="shared" ref="D220:P220" si="119">IFERROR(D219/D200,"")</f>
        <v>0.33680668119900076</v>
      </c>
      <c r="E220" s="1049">
        <f t="shared" si="119"/>
        <v>-0.2307805634582282</v>
      </c>
      <c r="F220" s="1049">
        <f t="shared" si="119"/>
        <v>-0.13477429741142311</v>
      </c>
      <c r="G220" s="1049">
        <f t="shared" si="119"/>
        <v>0.4983856765177761</v>
      </c>
      <c r="H220" s="1049">
        <f t="shared" si="119"/>
        <v>0.18270229685421416</v>
      </c>
      <c r="I220" s="1049">
        <f t="shared" si="119"/>
        <v>0.26969791898215706</v>
      </c>
      <c r="J220" s="1049">
        <f t="shared" si="119"/>
        <v>0.75733301867461322</v>
      </c>
      <c r="K220" s="1049">
        <f t="shared" si="119"/>
        <v>-0.7147135296311351</v>
      </c>
      <c r="L220" s="1049">
        <f t="shared" si="119"/>
        <v>0.51868313758549156</v>
      </c>
      <c r="M220" s="1049">
        <f t="shared" si="119"/>
        <v>0.14434491008084466</v>
      </c>
      <c r="N220" s="1049">
        <f t="shared" si="119"/>
        <v>0.49906595843775642</v>
      </c>
      <c r="O220" s="1049">
        <f t="shared" si="119"/>
        <v>0.61693005285586999</v>
      </c>
      <c r="P220" s="1049">
        <f t="shared" si="119"/>
        <v>0.7629736674341393</v>
      </c>
      <c r="R220"/>
      <c r="S220"/>
      <c r="T220"/>
      <c r="U220"/>
      <c r="V220"/>
      <c r="W220"/>
      <c r="X220"/>
      <c r="Y220"/>
      <c r="Z220"/>
      <c r="AA220"/>
      <c r="AB220"/>
      <c r="AC220"/>
      <c r="AD220"/>
      <c r="AE220"/>
      <c r="AF220"/>
    </row>
    <row r="221" spans="2:32" s="1294" customFormat="1" ht="18" hidden="1" customHeight="1" collapsed="1">
      <c r="B221" s="1356" t="s">
        <v>817</v>
      </c>
      <c r="C221" s="1594" t="s">
        <v>740</v>
      </c>
      <c r="D221" s="1589">
        <f t="shared" ref="D221:D229" si="120">IF(SUM(E221:P221)&gt;0,SUM(E221:P221),"")</f>
        <v>661446.49223650002</v>
      </c>
      <c r="E221" s="1589">
        <f>SUM(E222:E227)</f>
        <v>60470.707699999999</v>
      </c>
      <c r="F221" s="1589">
        <f>SUM(F222:F227)</f>
        <v>50347.6708</v>
      </c>
      <c r="G221" s="1589">
        <f>SUM(G222:G227)</f>
        <v>54099.877936499994</v>
      </c>
      <c r="H221" s="1589">
        <f>SUM(H222:H227)</f>
        <v>55463.490399999995</v>
      </c>
      <c r="I221" s="1589">
        <f t="shared" ref="I221:P221" si="121">SUM(I222:I227)</f>
        <v>51491.076399999998</v>
      </c>
      <c r="J221" s="1589">
        <f t="shared" si="121"/>
        <v>58686.051999999996</v>
      </c>
      <c r="K221" s="1589">
        <f t="shared" si="121"/>
        <v>55196.241399999999</v>
      </c>
      <c r="L221" s="1589">
        <f t="shared" si="121"/>
        <v>58623.942999999992</v>
      </c>
      <c r="M221" s="1589">
        <f t="shared" si="121"/>
        <v>50591.524699999994</v>
      </c>
      <c r="N221" s="1589">
        <f t="shared" si="121"/>
        <v>55594.981899999999</v>
      </c>
      <c r="O221" s="1589">
        <f t="shared" si="121"/>
        <v>56379.138399999996</v>
      </c>
      <c r="P221" s="1589">
        <f t="shared" si="121"/>
        <v>54501.787599999996</v>
      </c>
      <c r="R221"/>
      <c r="S221"/>
      <c r="T221"/>
      <c r="U221"/>
      <c r="V221"/>
      <c r="W221"/>
      <c r="X221"/>
      <c r="Y221"/>
      <c r="Z221"/>
      <c r="AA221"/>
      <c r="AB221"/>
      <c r="AC221"/>
      <c r="AD221"/>
      <c r="AE221"/>
      <c r="AF221"/>
    </row>
    <row r="222" spans="2:32" ht="18" hidden="1" customHeight="1" outlineLevel="1">
      <c r="B222" s="1142" t="s">
        <v>817</v>
      </c>
      <c r="C222" s="1111" t="s">
        <v>720</v>
      </c>
      <c r="D222" s="1041">
        <f t="shared" si="120"/>
        <v>192573.8756</v>
      </c>
      <c r="E222" s="1038">
        <v>25076.608200000002</v>
      </c>
      <c r="F222" s="1038">
        <v>10747.1178</v>
      </c>
      <c r="G222" s="1038">
        <v>17314.7958</v>
      </c>
      <c r="H222" s="1038">
        <v>14329.490400000001</v>
      </c>
      <c r="I222" s="1038">
        <v>14329.490400000001</v>
      </c>
      <c r="J222" s="1038">
        <v>17911.862999999998</v>
      </c>
      <c r="K222" s="1038">
        <v>14329.490399999999</v>
      </c>
      <c r="L222" s="1038">
        <v>17911.862999999998</v>
      </c>
      <c r="M222" s="1038">
        <v>13732.423200000001</v>
      </c>
      <c r="N222" s="1038">
        <v>14329.490399999999</v>
      </c>
      <c r="O222" s="1038">
        <v>17911.860399999998</v>
      </c>
      <c r="P222" s="1038">
        <v>14649.382599999999</v>
      </c>
      <c r="S222"/>
      <c r="T222"/>
      <c r="U222"/>
      <c r="V222"/>
      <c r="W222"/>
      <c r="X222"/>
      <c r="Y222"/>
      <c r="Z222"/>
      <c r="AA222"/>
      <c r="AB222"/>
      <c r="AC222"/>
      <c r="AD222"/>
      <c r="AE222"/>
    </row>
    <row r="223" spans="2:32" ht="18" hidden="1" customHeight="1" outlineLevel="1">
      <c r="B223" s="1142" t="s">
        <v>817</v>
      </c>
      <c r="C223" s="1111" t="s">
        <v>719</v>
      </c>
      <c r="D223" s="1041">
        <f t="shared" si="120"/>
        <v>44410.65</v>
      </c>
      <c r="E223" s="1038"/>
      <c r="F223" s="1038">
        <v>5611.63</v>
      </c>
      <c r="G223" s="1038">
        <v>1888.21</v>
      </c>
      <c r="H223" s="1038">
        <v>5783.98</v>
      </c>
      <c r="I223" s="1038">
        <v>1888.21</v>
      </c>
      <c r="J223" s="1038">
        <v>5783.98</v>
      </c>
      <c r="K223" s="1038">
        <v>3740.1299999999997</v>
      </c>
      <c r="L223" s="1038">
        <v>5926.58</v>
      </c>
      <c r="M223" s="1038">
        <v>1832.24</v>
      </c>
      <c r="N223" s="1038">
        <v>5864.59</v>
      </c>
      <c r="O223" s="1038">
        <v>1832.2399999999998</v>
      </c>
      <c r="P223" s="1038">
        <v>4258.8599999999997</v>
      </c>
      <c r="S223"/>
      <c r="T223"/>
      <c r="U223"/>
      <c r="V223"/>
      <c r="W223"/>
      <c r="X223"/>
      <c r="Y223"/>
      <c r="Z223"/>
      <c r="AA223"/>
      <c r="AB223"/>
      <c r="AC223"/>
      <c r="AD223"/>
      <c r="AE223"/>
    </row>
    <row r="224" spans="2:32" ht="18" hidden="1" customHeight="1" outlineLevel="1">
      <c r="B224" s="1142" t="s">
        <v>817</v>
      </c>
      <c r="C224" s="1110" t="s">
        <v>721</v>
      </c>
      <c r="D224" s="1041">
        <f t="shared" si="120"/>
        <v>5579.99</v>
      </c>
      <c r="E224" s="1038">
        <v>65</v>
      </c>
      <c r="F224" s="1038"/>
      <c r="G224" s="1038">
        <v>260</v>
      </c>
      <c r="H224" s="1038"/>
      <c r="I224" s="1038"/>
      <c r="J224" s="1038"/>
      <c r="K224" s="1038">
        <v>2858.5</v>
      </c>
      <c r="L224" s="1038">
        <v>177.8</v>
      </c>
      <c r="M224" s="1038">
        <v>556.20000000000005</v>
      </c>
      <c r="N224" s="1038"/>
      <c r="O224" s="1038">
        <v>1105.0900000000001</v>
      </c>
      <c r="P224" s="1038">
        <v>557.4</v>
      </c>
      <c r="S224"/>
      <c r="T224"/>
      <c r="U224"/>
      <c r="V224"/>
      <c r="W224"/>
      <c r="X224"/>
      <c r="Y224"/>
      <c r="Z224"/>
      <c r="AA224"/>
      <c r="AB224"/>
      <c r="AC224"/>
      <c r="AD224"/>
      <c r="AE224"/>
    </row>
    <row r="225" spans="2:32" ht="18" hidden="1" customHeight="1" outlineLevel="1">
      <c r="B225" s="1142" t="s">
        <v>817</v>
      </c>
      <c r="C225" s="158" t="s">
        <v>752</v>
      </c>
      <c r="D225" s="1041">
        <f t="shared" ref="D225:D227" si="122">IF(SUM(E225:P225)&gt;0,SUM(E225:P225),"")</f>
        <v>367231.41</v>
      </c>
      <c r="E225" s="1068">
        <f>((15693.65*52)/12)*0.45</f>
        <v>30602.6175</v>
      </c>
      <c r="F225" s="1068">
        <f t="shared" ref="F225:P225" si="123">((15693.65*52)/12)*0.45</f>
        <v>30602.6175</v>
      </c>
      <c r="G225" s="1068">
        <f t="shared" si="123"/>
        <v>30602.6175</v>
      </c>
      <c r="H225" s="1068">
        <f t="shared" si="123"/>
        <v>30602.6175</v>
      </c>
      <c r="I225" s="1068">
        <f t="shared" si="123"/>
        <v>30602.6175</v>
      </c>
      <c r="J225" s="1068">
        <f t="shared" si="123"/>
        <v>30602.6175</v>
      </c>
      <c r="K225" s="1068">
        <f t="shared" si="123"/>
        <v>30602.6175</v>
      </c>
      <c r="L225" s="1068">
        <f t="shared" si="123"/>
        <v>30602.6175</v>
      </c>
      <c r="M225" s="1068">
        <f t="shared" si="123"/>
        <v>30602.6175</v>
      </c>
      <c r="N225" s="1068">
        <f t="shared" si="123"/>
        <v>30602.6175</v>
      </c>
      <c r="O225" s="1068">
        <f t="shared" si="123"/>
        <v>30602.6175</v>
      </c>
      <c r="P225" s="1068">
        <f t="shared" si="123"/>
        <v>30602.6175</v>
      </c>
      <c r="S225"/>
      <c r="T225"/>
      <c r="U225"/>
      <c r="V225"/>
      <c r="W225"/>
      <c r="X225"/>
      <c r="Y225"/>
      <c r="Z225"/>
      <c r="AA225"/>
      <c r="AB225"/>
      <c r="AC225"/>
      <c r="AD225"/>
      <c r="AE225"/>
    </row>
    <row r="226" spans="2:32" ht="18" hidden="1" customHeight="1" outlineLevel="1">
      <c r="B226" s="1142" t="s">
        <v>817</v>
      </c>
      <c r="C226" s="158" t="s">
        <v>384</v>
      </c>
      <c r="D226" s="1041">
        <f t="shared" si="122"/>
        <v>7344.5580000000009</v>
      </c>
      <c r="E226" s="1068">
        <f>((313.87*52)/12)*0.45</f>
        <v>612.04649999999992</v>
      </c>
      <c r="F226" s="1068">
        <f t="shared" ref="F226:P226" si="124">((313.87*52)/12)*0.45</f>
        <v>612.04649999999992</v>
      </c>
      <c r="G226" s="1068">
        <f t="shared" si="124"/>
        <v>612.04649999999992</v>
      </c>
      <c r="H226" s="1068">
        <f t="shared" si="124"/>
        <v>612.04649999999992</v>
      </c>
      <c r="I226" s="1068">
        <f t="shared" si="124"/>
        <v>612.04649999999992</v>
      </c>
      <c r="J226" s="1068">
        <f t="shared" si="124"/>
        <v>612.04649999999992</v>
      </c>
      <c r="K226" s="1068">
        <f t="shared" si="124"/>
        <v>612.04649999999992</v>
      </c>
      <c r="L226" s="1068">
        <f t="shared" si="124"/>
        <v>612.04649999999992</v>
      </c>
      <c r="M226" s="1068">
        <f t="shared" si="124"/>
        <v>612.04649999999992</v>
      </c>
      <c r="N226" s="1068">
        <f t="shared" si="124"/>
        <v>612.04649999999992</v>
      </c>
      <c r="O226" s="1068">
        <f t="shared" si="124"/>
        <v>612.04649999999992</v>
      </c>
      <c r="P226" s="1068">
        <f t="shared" si="124"/>
        <v>612.04649999999992</v>
      </c>
      <c r="S226"/>
      <c r="T226"/>
      <c r="U226"/>
      <c r="V226"/>
      <c r="W226"/>
      <c r="X226"/>
      <c r="Y226"/>
      <c r="Z226"/>
      <c r="AA226"/>
      <c r="AB226"/>
      <c r="AC226"/>
      <c r="AD226"/>
      <c r="AE226"/>
    </row>
    <row r="227" spans="2:32" ht="18" hidden="1" customHeight="1" outlineLevel="1">
      <c r="B227" s="1142" t="s">
        <v>817</v>
      </c>
      <c r="C227" s="158" t="s">
        <v>717</v>
      </c>
      <c r="D227" s="1041">
        <f t="shared" si="122"/>
        <v>44306.008636500002</v>
      </c>
      <c r="E227" s="1068">
        <f>9143.19*0.45</f>
        <v>4114.4355000000005</v>
      </c>
      <c r="F227" s="1068">
        <f>6165.02*0.45</f>
        <v>2774.2590000000005</v>
      </c>
      <c r="G227" s="1068">
        <f>7604.90697*0.45</f>
        <v>3422.2081364999999</v>
      </c>
      <c r="H227" s="1068">
        <f>9189.68*0.45</f>
        <v>4135.3560000000007</v>
      </c>
      <c r="I227" s="1068">
        <f>9019.36*0.45</f>
        <v>4058.7120000000004</v>
      </c>
      <c r="J227" s="1068">
        <f>8390.1*0.45</f>
        <v>3775.5450000000001</v>
      </c>
      <c r="K227" s="1068">
        <f>6785.46*0.45</f>
        <v>3053.4569999999999</v>
      </c>
      <c r="L227" s="1068">
        <f>7540.08*0.45</f>
        <v>3393.0360000000001</v>
      </c>
      <c r="M227" s="1068">
        <f>7235.55*0.45</f>
        <v>3255.9974999999999</v>
      </c>
      <c r="N227" s="1068">
        <f>9302.75*0.45</f>
        <v>4186.2375000000002</v>
      </c>
      <c r="O227" s="1068">
        <f>9589.52*0.45</f>
        <v>4315.2840000000006</v>
      </c>
      <c r="P227" s="1068">
        <f>8492.18*0.45</f>
        <v>3821.4810000000002</v>
      </c>
      <c r="S227"/>
      <c r="T227"/>
      <c r="U227"/>
      <c r="V227"/>
      <c r="W227"/>
      <c r="X227"/>
      <c r="Y227"/>
      <c r="Z227"/>
      <c r="AA227"/>
      <c r="AB227"/>
      <c r="AC227"/>
      <c r="AD227"/>
      <c r="AE227"/>
    </row>
    <row r="228" spans="2:32" s="1294" customFormat="1" ht="18" hidden="1" customHeight="1" collapsed="1">
      <c r="B228" s="1356" t="s">
        <v>817</v>
      </c>
      <c r="C228" s="1582" t="s">
        <v>741</v>
      </c>
      <c r="D228" s="1583">
        <f t="shared" si="120"/>
        <v>163171.35999999999</v>
      </c>
      <c r="E228" s="1583">
        <f>IF(SUM(E229:E229)&gt;0,SUM(E229:E229),0)</f>
        <v>9495.1999999999989</v>
      </c>
      <c r="F228" s="1583">
        <f t="shared" ref="F228:P228" si="125">IF(SUM(F229:F229)&gt;0,SUM(F229:F229),0)</f>
        <v>14607.999999999996</v>
      </c>
      <c r="G228" s="1583">
        <f t="shared" si="125"/>
        <v>15922.719999999998</v>
      </c>
      <c r="H228" s="1583">
        <f t="shared" si="125"/>
        <v>15630.559999999998</v>
      </c>
      <c r="I228" s="1583">
        <f t="shared" si="125"/>
        <v>14169.759999999998</v>
      </c>
      <c r="J228" s="1583">
        <f t="shared" si="125"/>
        <v>24979.679999999993</v>
      </c>
      <c r="K228" s="1583">
        <f t="shared" si="125"/>
        <v>16068.8</v>
      </c>
      <c r="L228" s="1583">
        <f t="shared" si="125"/>
        <v>11102.079999999998</v>
      </c>
      <c r="M228" s="1583">
        <f t="shared" si="125"/>
        <v>11102.079999999998</v>
      </c>
      <c r="N228" s="1583">
        <f t="shared" si="125"/>
        <v>9203.0399999999991</v>
      </c>
      <c r="O228" s="1583">
        <f t="shared" si="125"/>
        <v>8034.3999999999987</v>
      </c>
      <c r="P228" s="1583">
        <f t="shared" si="125"/>
        <v>12855.039999999997</v>
      </c>
      <c r="R228"/>
      <c r="S228"/>
      <c r="T228"/>
      <c r="U228"/>
      <c r="V228"/>
      <c r="W228"/>
      <c r="X228"/>
      <c r="Y228"/>
      <c r="Z228"/>
      <c r="AA228"/>
      <c r="AB228"/>
      <c r="AC228"/>
      <c r="AD228"/>
      <c r="AE228"/>
      <c r="AF228"/>
    </row>
    <row r="229" spans="2:32" ht="18" hidden="1" customHeight="1" outlineLevel="1" thickBot="1">
      <c r="B229" s="1142" t="s">
        <v>817</v>
      </c>
      <c r="C229" s="1028" t="s">
        <v>721</v>
      </c>
      <c r="D229" s="1041">
        <f t="shared" si="120"/>
        <v>163171.35999999999</v>
      </c>
      <c r="E229" s="1038">
        <v>9495.1999999999989</v>
      </c>
      <c r="F229" s="1038">
        <v>14607.999999999996</v>
      </c>
      <c r="G229" s="1038">
        <v>15922.719999999998</v>
      </c>
      <c r="H229" s="1038">
        <v>15630.559999999998</v>
      </c>
      <c r="I229" s="1038">
        <v>14169.759999999998</v>
      </c>
      <c r="J229" s="1038">
        <v>24979.679999999993</v>
      </c>
      <c r="K229" s="1038">
        <v>16068.8</v>
      </c>
      <c r="L229" s="1038">
        <v>11102.079999999998</v>
      </c>
      <c r="M229" s="1038">
        <v>11102.079999999998</v>
      </c>
      <c r="N229" s="1038">
        <v>9203.0399999999991</v>
      </c>
      <c r="O229" s="1038">
        <v>8034.3999999999987</v>
      </c>
      <c r="P229" s="1038">
        <v>12855.039999999997</v>
      </c>
      <c r="S229"/>
      <c r="T229"/>
      <c r="U229"/>
      <c r="V229"/>
      <c r="W229"/>
      <c r="X229"/>
      <c r="Y229"/>
      <c r="Z229"/>
      <c r="AA229"/>
      <c r="AB229"/>
      <c r="AC229"/>
      <c r="AD229"/>
      <c r="AE229"/>
    </row>
    <row r="230" spans="2:32" s="1294" customFormat="1" ht="18" hidden="1" customHeight="1" collapsed="1" thickTop="1" thickBot="1">
      <c r="B230" s="1356" t="s">
        <v>817</v>
      </c>
      <c r="C230" s="1348" t="s">
        <v>739</v>
      </c>
      <c r="D230" s="1048">
        <f>IFERROR(SUM(E230:P230),"")</f>
        <v>904114.93665549927</v>
      </c>
      <c r="E230" s="1048">
        <f>(E219-E221-E228)</f>
        <v>-168081.68730285708</v>
      </c>
      <c r="F230" s="1048">
        <f t="shared" ref="F230:P230" si="126">(F219-F221-F228)</f>
        <v>-80299.960415310983</v>
      </c>
      <c r="G230" s="1048">
        <f t="shared" si="126"/>
        <v>372324.59311361739</v>
      </c>
      <c r="H230" s="1048">
        <f t="shared" si="126"/>
        <v>7924.6929894476343</v>
      </c>
      <c r="I230" s="1048">
        <f t="shared" si="126"/>
        <v>110014.99406659747</v>
      </c>
      <c r="J230" s="1048">
        <f t="shared" si="126"/>
        <v>594927.37272301363</v>
      </c>
      <c r="K230" s="1048">
        <f t="shared" si="126"/>
        <v>-354686.12100228586</v>
      </c>
      <c r="L230" s="1048">
        <f t="shared" si="126"/>
        <v>113000.8595399928</v>
      </c>
      <c r="M230" s="1048">
        <f t="shared" si="126"/>
        <v>-44196.114700000006</v>
      </c>
      <c r="N230" s="1048">
        <f t="shared" si="126"/>
        <v>25211.518099999994</v>
      </c>
      <c r="O230" s="1048">
        <f t="shared" si="126"/>
        <v>171697.93142899859</v>
      </c>
      <c r="P230" s="1048">
        <f t="shared" si="126"/>
        <v>156276.85811428571</v>
      </c>
      <c r="R230"/>
      <c r="S230"/>
      <c r="T230"/>
      <c r="U230"/>
      <c r="V230"/>
      <c r="W230"/>
      <c r="X230"/>
      <c r="Y230"/>
      <c r="Z230"/>
      <c r="AA230"/>
      <c r="AB230"/>
      <c r="AC230"/>
      <c r="AD230"/>
      <c r="AE230"/>
      <c r="AF230"/>
    </row>
    <row r="231" spans="2:32" s="1294" customFormat="1" ht="15.75" hidden="1" outlineLevel="1" thickTop="1">
      <c r="B231" s="1142" t="s">
        <v>817</v>
      </c>
      <c r="C231" s="1358"/>
      <c r="D231" s="1056">
        <f t="shared" ref="D231:P231" si="127">IFERROR(D230/D200,"")</f>
        <v>0.17614749554935846</v>
      </c>
      <c r="E231" s="1056">
        <f t="shared" si="127"/>
        <v>-0.39534911366727332</v>
      </c>
      <c r="F231" s="1056">
        <f t="shared" si="127"/>
        <v>-0.70530282068840389</v>
      </c>
      <c r="G231" s="1056">
        <f t="shared" si="127"/>
        <v>0.4194923082536588</v>
      </c>
      <c r="H231" s="1056">
        <f t="shared" si="127"/>
        <v>1.832298957097719E-2</v>
      </c>
      <c r="I231" s="1056">
        <f t="shared" si="127"/>
        <v>0.16889525939788982</v>
      </c>
      <c r="J231" s="1056">
        <f t="shared" si="127"/>
        <v>0.66395921199403329</v>
      </c>
      <c r="K231" s="1056">
        <f t="shared" si="127"/>
        <v>-0.89442524814472213</v>
      </c>
      <c r="L231" s="1056">
        <f t="shared" si="127"/>
        <v>0.32076090590136763</v>
      </c>
      <c r="M231" s="1056">
        <f t="shared" si="127"/>
        <v>-0.36459424764890286</v>
      </c>
      <c r="N231" s="1056">
        <f t="shared" si="127"/>
        <v>0.13978752079221093</v>
      </c>
      <c r="O231" s="1056">
        <f t="shared" si="127"/>
        <v>0.44862544792275971</v>
      </c>
      <c r="P231" s="1056">
        <f t="shared" si="127"/>
        <v>0.53317158901935713</v>
      </c>
      <c r="R231"/>
      <c r="S231"/>
      <c r="T231"/>
      <c r="U231"/>
      <c r="V231"/>
      <c r="W231"/>
      <c r="X231"/>
      <c r="Y231"/>
      <c r="Z231"/>
      <c r="AA231"/>
      <c r="AB231"/>
      <c r="AC231"/>
      <c r="AD231"/>
      <c r="AE231"/>
      <c r="AF231"/>
    </row>
    <row r="232" spans="2:32" s="1294" customFormat="1" ht="18" hidden="1" customHeight="1" collapsed="1">
      <c r="B232" s="1356" t="s">
        <v>817</v>
      </c>
      <c r="C232" s="1349" t="s">
        <v>728</v>
      </c>
      <c r="D232" s="1066">
        <f t="shared" ref="D232" si="128">IF(SUM(E232:P232)&gt;0,SUM(E232:P232),"")</f>
        <v>220507.46</v>
      </c>
      <c r="E232" s="1067"/>
      <c r="F232" s="1067"/>
      <c r="G232" s="1067"/>
      <c r="H232" s="1067"/>
      <c r="I232" s="1067"/>
      <c r="J232" s="1067">
        <v>59422.83</v>
      </c>
      <c r="K232" s="1067">
        <v>1675</v>
      </c>
      <c r="L232" s="1067">
        <v>15882.07</v>
      </c>
      <c r="M232" s="1067">
        <v>7488.36</v>
      </c>
      <c r="N232" s="1067">
        <v>131750.35999999999</v>
      </c>
      <c r="O232" s="1067">
        <v>1316</v>
      </c>
      <c r="P232" s="1067">
        <v>2972.84</v>
      </c>
      <c r="R232"/>
      <c r="S232"/>
      <c r="T232"/>
      <c r="U232"/>
      <c r="V232"/>
      <c r="W232"/>
      <c r="X232"/>
      <c r="Y232"/>
      <c r="Z232"/>
      <c r="AA232"/>
      <c r="AB232"/>
      <c r="AC232"/>
      <c r="AD232"/>
      <c r="AE232"/>
      <c r="AF232"/>
    </row>
    <row r="233" spans="2:32" s="1294" customFormat="1" ht="18" hidden="1" customHeight="1">
      <c r="B233" s="1356" t="s">
        <v>817</v>
      </c>
      <c r="C233" s="1350" t="s">
        <v>742</v>
      </c>
      <c r="D233" s="1249">
        <f>SUMPRODUCT(E233:P233,E180:P180)/SUM(E180:P180)</f>
        <v>1.2553942036315073</v>
      </c>
      <c r="E233" s="1250">
        <f>SUM(E234:E236)</f>
        <v>0.6360046857021997</v>
      </c>
      <c r="F233" s="1250">
        <f t="shared" ref="F233:P233" si="129">SUM(F234:F236)</f>
        <v>2.6820469492119088</v>
      </c>
      <c r="G233" s="1250">
        <f t="shared" si="129"/>
        <v>2.1843139705214285</v>
      </c>
      <c r="H233" s="1250">
        <f t="shared" si="129"/>
        <v>1.3647109747572814</v>
      </c>
      <c r="I233" s="1250">
        <f t="shared" si="129"/>
        <v>0.45845589927007302</v>
      </c>
      <c r="J233" s="1250">
        <f t="shared" si="129"/>
        <v>4.2157316363636363</v>
      </c>
      <c r="K233" s="1250">
        <f t="shared" si="129"/>
        <v>1.0352872628120893</v>
      </c>
      <c r="L233" s="1250">
        <f t="shared" si="129"/>
        <v>1.8814549285714284</v>
      </c>
      <c r="M233" s="1250">
        <f t="shared" si="129"/>
        <v>2.9243724944444445</v>
      </c>
      <c r="N233" s="1250">
        <f t="shared" si="129"/>
        <v>3.1800933729166672</v>
      </c>
      <c r="O233" s="1250">
        <f t="shared" si="129"/>
        <v>0.83593231160220993</v>
      </c>
      <c r="P233" s="1250">
        <f t="shared" si="129"/>
        <v>0.87556935177865602</v>
      </c>
      <c r="Q233" s="1246"/>
      <c r="R233"/>
      <c r="S233"/>
      <c r="T233"/>
      <c r="U233"/>
      <c r="V233"/>
      <c r="W233"/>
      <c r="X233"/>
      <c r="Y233"/>
      <c r="Z233"/>
      <c r="AA233"/>
      <c r="AB233"/>
      <c r="AC233"/>
      <c r="AD233"/>
      <c r="AE233"/>
      <c r="AF233"/>
    </row>
    <row r="234" spans="2:32" ht="18" hidden="1" customHeight="1" outlineLevel="1">
      <c r="B234" s="1142" t="s">
        <v>817</v>
      </c>
      <c r="C234" s="1058" t="s">
        <v>876</v>
      </c>
      <c r="D234" s="1248">
        <f>SUMPRODUCT(E234:P234,E180:P180)/SUM(E180:P180)</f>
        <v>0.69423880911874791</v>
      </c>
      <c r="E234" s="1251">
        <f>SUM(E211:E218)/E180</f>
        <v>0.34004060913705586</v>
      </c>
      <c r="F234" s="1251">
        <f>SUM(F211:F218)/F180</f>
        <v>1.5444695271453588</v>
      </c>
      <c r="G234" s="1251">
        <f t="shared" ref="G234:P234" si="130">SUM(G211:G218)/G180</f>
        <v>1.183991142857143</v>
      </c>
      <c r="H234" s="1251">
        <f t="shared" si="130"/>
        <v>0.67447747572815531</v>
      </c>
      <c r="I234" s="1251">
        <f t="shared" si="130"/>
        <v>0.21881781021897811</v>
      </c>
      <c r="J234" s="1251">
        <f t="shared" si="130"/>
        <v>2.3142377272727273</v>
      </c>
      <c r="K234" s="1251">
        <f t="shared" si="130"/>
        <v>0.5670544021024968</v>
      </c>
      <c r="L234" s="1251">
        <f t="shared" si="130"/>
        <v>1.1699648979591837</v>
      </c>
      <c r="M234" s="1251">
        <f t="shared" si="130"/>
        <v>1.7818983333333336</v>
      </c>
      <c r="N234" s="1251">
        <f t="shared" si="130"/>
        <v>1.8301345833333336</v>
      </c>
      <c r="O234" s="1251">
        <f t="shared" si="130"/>
        <v>0.48005640883977901</v>
      </c>
      <c r="P234" s="1251">
        <f t="shared" si="130"/>
        <v>0.43184848484848487</v>
      </c>
      <c r="S234"/>
      <c r="T234"/>
      <c r="U234"/>
      <c r="V234"/>
      <c r="W234"/>
      <c r="X234"/>
      <c r="Y234"/>
      <c r="Z234"/>
      <c r="AA234"/>
      <c r="AB234"/>
      <c r="AC234"/>
      <c r="AD234"/>
      <c r="AE234"/>
    </row>
    <row r="235" spans="2:32" ht="18" hidden="1" customHeight="1" outlineLevel="1">
      <c r="B235" s="1142" t="s">
        <v>817</v>
      </c>
      <c r="C235" s="1058" t="s">
        <v>877</v>
      </c>
      <c r="D235" s="1248">
        <f>SUMPRODUCT(E235:P235,E180:P180)/SUM(E180:P180)</f>
        <v>0.45011670107961899</v>
      </c>
      <c r="E235" s="1251">
        <f>(E221/E180)</f>
        <v>0.25579825592216582</v>
      </c>
      <c r="F235" s="1251">
        <f>(F221/F180)</f>
        <v>0.88174554816112083</v>
      </c>
      <c r="G235" s="1251">
        <f t="shared" ref="G235:P235" si="131">(G221/G180)</f>
        <v>0.77285539909285705</v>
      </c>
      <c r="H235" s="1251">
        <f t="shared" si="131"/>
        <v>0.53848048932038828</v>
      </c>
      <c r="I235" s="1251">
        <f t="shared" si="131"/>
        <v>0.18792363649635035</v>
      </c>
      <c r="J235" s="1251">
        <f t="shared" si="131"/>
        <v>1.3337739090909091</v>
      </c>
      <c r="K235" s="1251">
        <f t="shared" si="131"/>
        <v>0.36265598817345596</v>
      </c>
      <c r="L235" s="1251">
        <f t="shared" si="131"/>
        <v>0.59820349999999989</v>
      </c>
      <c r="M235" s="1251">
        <f t="shared" si="131"/>
        <v>0.93688008703703696</v>
      </c>
      <c r="N235" s="1251">
        <f t="shared" si="131"/>
        <v>1.1582287895833334</v>
      </c>
      <c r="O235" s="1251">
        <f t="shared" si="131"/>
        <v>0.31148695248618785</v>
      </c>
      <c r="P235" s="1251">
        <f t="shared" si="131"/>
        <v>0.35903680895915674</v>
      </c>
      <c r="S235"/>
      <c r="T235"/>
      <c r="U235"/>
      <c r="V235"/>
      <c r="W235"/>
      <c r="X235"/>
      <c r="Y235"/>
      <c r="Z235"/>
      <c r="AA235"/>
      <c r="AB235"/>
      <c r="AC235"/>
      <c r="AD235"/>
      <c r="AE235"/>
    </row>
    <row r="236" spans="2:32" ht="18" hidden="1" customHeight="1" outlineLevel="1">
      <c r="B236" s="1142" t="s">
        <v>817</v>
      </c>
      <c r="C236" s="1058" t="s">
        <v>878</v>
      </c>
      <c r="D236" s="1248">
        <f>SUMPRODUCT(E236:P236,E180:P180)/SUM(E180:P180)</f>
        <v>0.11103869343314052</v>
      </c>
      <c r="E236" s="1251">
        <f>(E228/E180)</f>
        <v>4.0165820642978002E-2</v>
      </c>
      <c r="F236" s="1251">
        <f>(F228/F180)</f>
        <v>0.255831873905429</v>
      </c>
      <c r="G236" s="1251">
        <f t="shared" ref="G236:P236" si="132">(G228/G180)</f>
        <v>0.22746742857142854</v>
      </c>
      <c r="H236" s="1251">
        <f t="shared" si="132"/>
        <v>0.15175300970873784</v>
      </c>
      <c r="I236" s="1251">
        <f t="shared" si="132"/>
        <v>5.1714452554744522E-2</v>
      </c>
      <c r="J236" s="1251">
        <f t="shared" si="132"/>
        <v>0.56771999999999989</v>
      </c>
      <c r="K236" s="1251">
        <f t="shared" si="132"/>
        <v>0.10557687253613665</v>
      </c>
      <c r="L236" s="1251">
        <f t="shared" si="132"/>
        <v>0.11328653061224488</v>
      </c>
      <c r="M236" s="1251">
        <f t="shared" si="132"/>
        <v>0.20559407407407404</v>
      </c>
      <c r="N236" s="1251">
        <f t="shared" si="132"/>
        <v>0.19172999999999998</v>
      </c>
      <c r="O236" s="1251">
        <f t="shared" si="132"/>
        <v>4.4388950276243087E-2</v>
      </c>
      <c r="P236" s="1251">
        <f t="shared" si="132"/>
        <v>8.468405797101447E-2</v>
      </c>
      <c r="S236"/>
      <c r="T236"/>
      <c r="U236"/>
      <c r="V236"/>
      <c r="W236"/>
      <c r="X236"/>
      <c r="Y236"/>
      <c r="Z236"/>
      <c r="AA236"/>
      <c r="AB236"/>
      <c r="AC236"/>
      <c r="AD236"/>
      <c r="AE236"/>
    </row>
    <row r="237" spans="2:32" ht="18" hidden="1" customHeight="1" outlineLevel="1">
      <c r="B237" s="1142" t="s">
        <v>817</v>
      </c>
      <c r="C237" s="1063" t="s">
        <v>883</v>
      </c>
      <c r="D237" s="1248">
        <f>SUMPRODUCT(E237:P237,E180:P180)/SUM(E180:P180)</f>
        <v>3.1384855090787686E-2</v>
      </c>
      <c r="E237" s="1046">
        <f>(E233*0.025)</f>
        <v>1.5900117142554994E-2</v>
      </c>
      <c r="F237" s="1046">
        <f t="shared" ref="F237:P237" si="133">(F233*0.025)</f>
        <v>6.7051173730297717E-2</v>
      </c>
      <c r="G237" s="1046">
        <f t="shared" si="133"/>
        <v>5.4607849263035718E-2</v>
      </c>
      <c r="H237" s="1046">
        <f t="shared" si="133"/>
        <v>3.4117774368932034E-2</v>
      </c>
      <c r="I237" s="1046">
        <f t="shared" si="133"/>
        <v>1.1461397481751826E-2</v>
      </c>
      <c r="J237" s="1046">
        <f t="shared" si="133"/>
        <v>0.10539329090909091</v>
      </c>
      <c r="K237" s="1046">
        <f t="shared" si="133"/>
        <v>2.5882181570302233E-2</v>
      </c>
      <c r="L237" s="1046">
        <f t="shared" si="133"/>
        <v>4.7036373214285714E-2</v>
      </c>
      <c r="M237" s="1046">
        <f t="shared" si="133"/>
        <v>7.3109312361111109E-2</v>
      </c>
      <c r="N237" s="1046">
        <f t="shared" si="133"/>
        <v>7.9502334322916687E-2</v>
      </c>
      <c r="O237" s="1046">
        <f t="shared" si="133"/>
        <v>2.0898307790055248E-2</v>
      </c>
      <c r="P237" s="1046">
        <f t="shared" si="133"/>
        <v>2.1889233794466403E-2</v>
      </c>
      <c r="S237"/>
      <c r="T237"/>
      <c r="U237"/>
      <c r="V237"/>
      <c r="W237"/>
      <c r="X237"/>
      <c r="Y237"/>
      <c r="Z237"/>
      <c r="AA237"/>
      <c r="AB237"/>
      <c r="AC237"/>
      <c r="AD237"/>
      <c r="AE237"/>
    </row>
    <row r="238" spans="2:32" ht="18" hidden="1" customHeight="1" outlineLevel="1">
      <c r="B238" s="1142" t="s">
        <v>817</v>
      </c>
      <c r="C238" s="1063" t="s">
        <v>884</v>
      </c>
      <c r="D238" s="1248">
        <f>SUMPRODUCT(E238:P238,E180:P180)/SUM(E180:P180)</f>
        <v>0.25107884072630149</v>
      </c>
      <c r="E238" s="1046">
        <f>(E233*0.2)</f>
        <v>0.12720093714043995</v>
      </c>
      <c r="F238" s="1046">
        <f t="shared" ref="F238:P238" si="134">(F233*0.2)</f>
        <v>0.53640938984238173</v>
      </c>
      <c r="G238" s="1046">
        <f t="shared" si="134"/>
        <v>0.43686279410428575</v>
      </c>
      <c r="H238" s="1046">
        <f t="shared" si="134"/>
        <v>0.27294219495145627</v>
      </c>
      <c r="I238" s="1046">
        <f t="shared" si="134"/>
        <v>9.1691179854014607E-2</v>
      </c>
      <c r="J238" s="1046">
        <f t="shared" si="134"/>
        <v>0.84314632727272731</v>
      </c>
      <c r="K238" s="1046">
        <f t="shared" si="134"/>
        <v>0.20705745256241787</v>
      </c>
      <c r="L238" s="1046">
        <f t="shared" si="134"/>
        <v>0.37629098571428571</v>
      </c>
      <c r="M238" s="1046">
        <f t="shared" si="134"/>
        <v>0.58487449888888887</v>
      </c>
      <c r="N238" s="1046">
        <f t="shared" si="134"/>
        <v>0.6360186745833335</v>
      </c>
      <c r="O238" s="1046">
        <f t="shared" si="134"/>
        <v>0.16718646232044199</v>
      </c>
      <c r="P238" s="1046">
        <f t="shared" si="134"/>
        <v>0.17511387035573123</v>
      </c>
      <c r="S238"/>
      <c r="T238"/>
      <c r="U238"/>
      <c r="V238"/>
      <c r="W238"/>
      <c r="X238"/>
      <c r="Y238"/>
      <c r="Z238"/>
      <c r="AA238"/>
      <c r="AB238"/>
      <c r="AC238"/>
      <c r="AD238"/>
      <c r="AE238"/>
    </row>
    <row r="239" spans="2:32" ht="18" hidden="1" customHeight="1" outlineLevel="1">
      <c r="B239" s="1142" t="s">
        <v>817</v>
      </c>
      <c r="C239" s="1063" t="s">
        <v>879</v>
      </c>
      <c r="D239" s="1248">
        <f>SUMPRODUCT(E239:P239,E180:P180)/SUM(E180:P180)</f>
        <v>0.69046681199732896</v>
      </c>
      <c r="E239" s="1046">
        <f>(E233*0.55)</f>
        <v>0.34980257713620988</v>
      </c>
      <c r="F239" s="1046">
        <f t="shared" ref="F239:P239" si="135">(F233*0.55)</f>
        <v>1.47512582206655</v>
      </c>
      <c r="G239" s="1046">
        <f t="shared" si="135"/>
        <v>1.2013726837867857</v>
      </c>
      <c r="H239" s="1046">
        <f t="shared" si="135"/>
        <v>0.7505910361165048</v>
      </c>
      <c r="I239" s="1046">
        <f t="shared" si="135"/>
        <v>0.2521507445985402</v>
      </c>
      <c r="J239" s="1046">
        <f t="shared" si="135"/>
        <v>2.3186524000000004</v>
      </c>
      <c r="K239" s="1046">
        <f t="shared" si="135"/>
        <v>0.56940799454664914</v>
      </c>
      <c r="L239" s="1046">
        <f t="shared" si="135"/>
        <v>1.0348002107142857</v>
      </c>
      <c r="M239" s="1046">
        <f t="shared" si="135"/>
        <v>1.6084048719444446</v>
      </c>
      <c r="N239" s="1046">
        <f t="shared" si="135"/>
        <v>1.7490513551041671</v>
      </c>
      <c r="O239" s="1046">
        <f t="shared" si="135"/>
        <v>0.45976277138121552</v>
      </c>
      <c r="P239" s="1046">
        <f t="shared" si="135"/>
        <v>0.48156314347826085</v>
      </c>
      <c r="S239"/>
      <c r="T239"/>
      <c r="U239"/>
      <c r="V239"/>
      <c r="W239"/>
      <c r="X239"/>
      <c r="Y239"/>
      <c r="Z239"/>
      <c r="AA239"/>
      <c r="AB239"/>
      <c r="AC239"/>
      <c r="AD239"/>
      <c r="AE239"/>
    </row>
    <row r="240" spans="2:32" ht="18" hidden="1" customHeight="1" outlineLevel="1">
      <c r="B240" s="1142" t="s">
        <v>817</v>
      </c>
      <c r="C240" s="1063" t="s">
        <v>880</v>
      </c>
      <c r="D240" s="1248">
        <f>SUMPRODUCT(E240:P240,E180:P180)/SUM(E180:P180)</f>
        <v>0.12553942036315074</v>
      </c>
      <c r="E240" s="1046">
        <f>(E233*0.1)</f>
        <v>6.3600468570219976E-2</v>
      </c>
      <c r="F240" s="1046">
        <f t="shared" ref="F240:P240" si="136">(F233*0.1)</f>
        <v>0.26820469492119087</v>
      </c>
      <c r="G240" s="1046">
        <f t="shared" si="136"/>
        <v>0.21843139705214287</v>
      </c>
      <c r="H240" s="1046">
        <f t="shared" si="136"/>
        <v>0.13647109747572814</v>
      </c>
      <c r="I240" s="1046">
        <f t="shared" si="136"/>
        <v>4.5845589927007303E-2</v>
      </c>
      <c r="J240" s="1046">
        <f t="shared" si="136"/>
        <v>0.42157316363636366</v>
      </c>
      <c r="K240" s="1046">
        <f t="shared" si="136"/>
        <v>0.10352872628120893</v>
      </c>
      <c r="L240" s="1046">
        <f t="shared" si="136"/>
        <v>0.18814549285714285</v>
      </c>
      <c r="M240" s="1046">
        <f t="shared" si="136"/>
        <v>0.29243724944444444</v>
      </c>
      <c r="N240" s="1046">
        <f t="shared" si="136"/>
        <v>0.31800933729166675</v>
      </c>
      <c r="O240" s="1046">
        <f t="shared" si="136"/>
        <v>8.3593231160220993E-2</v>
      </c>
      <c r="P240" s="1046">
        <f t="shared" si="136"/>
        <v>8.7556935177865614E-2</v>
      </c>
      <c r="S240"/>
      <c r="T240"/>
      <c r="U240"/>
      <c r="V240"/>
      <c r="W240"/>
      <c r="X240"/>
      <c r="Y240"/>
      <c r="Z240"/>
      <c r="AA240"/>
      <c r="AB240"/>
      <c r="AC240"/>
      <c r="AD240"/>
      <c r="AE240"/>
    </row>
    <row r="241" spans="2:31" ht="15.75" hidden="1" customHeight="1" outlineLevel="1">
      <c r="B241" s="1142" t="s">
        <v>817</v>
      </c>
      <c r="C241" s="1063" t="s">
        <v>882</v>
      </c>
      <c r="D241" s="1248">
        <f>SUMPRODUCT(E241:P241,E180:P180)/SUM(E180:P180)</f>
        <v>0.15692427545393842</v>
      </c>
      <c r="E241" s="1046">
        <f>(E233*0.125)</f>
        <v>7.9500585712774963E-2</v>
      </c>
      <c r="F241" s="1046">
        <f t="shared" ref="F241:P241" si="137">(F233*0.125)</f>
        <v>0.3352558686514886</v>
      </c>
      <c r="G241" s="1046">
        <f t="shared" si="137"/>
        <v>0.27303924631517856</v>
      </c>
      <c r="H241" s="1046">
        <f t="shared" si="137"/>
        <v>0.17058887184466018</v>
      </c>
      <c r="I241" s="1046">
        <f t="shared" si="137"/>
        <v>5.7306987408759127E-2</v>
      </c>
      <c r="J241" s="1046">
        <f t="shared" si="137"/>
        <v>0.52696645454545454</v>
      </c>
      <c r="K241" s="1046">
        <f t="shared" si="137"/>
        <v>0.12941090785151116</v>
      </c>
      <c r="L241" s="1046">
        <f t="shared" si="137"/>
        <v>0.23518186607142855</v>
      </c>
      <c r="M241" s="1046">
        <f t="shared" si="137"/>
        <v>0.36554656180555556</v>
      </c>
      <c r="N241" s="1046">
        <f t="shared" si="137"/>
        <v>0.3975116716145834</v>
      </c>
      <c r="O241" s="1046">
        <f t="shared" si="137"/>
        <v>0.10449153895027624</v>
      </c>
      <c r="P241" s="1046">
        <f t="shared" si="137"/>
        <v>0.109446168972332</v>
      </c>
      <c r="S241"/>
      <c r="T241"/>
      <c r="U241"/>
      <c r="V241"/>
      <c r="W241"/>
      <c r="X241"/>
      <c r="Y241"/>
      <c r="Z241"/>
      <c r="AA241"/>
      <c r="AB241"/>
      <c r="AC241"/>
      <c r="AD241"/>
      <c r="AE241"/>
    </row>
    <row r="242" spans="2:31" ht="18" customHeight="1" collapsed="1">
      <c r="S242"/>
      <c r="T242"/>
      <c r="U242"/>
      <c r="V242"/>
      <c r="W242"/>
      <c r="X242"/>
      <c r="Y242"/>
      <c r="Z242"/>
      <c r="AA242"/>
      <c r="AB242"/>
      <c r="AC242"/>
      <c r="AD242"/>
      <c r="AE242"/>
    </row>
    <row r="243" spans="2:31" ht="18" customHeight="1">
      <c r="S243"/>
      <c r="T243"/>
      <c r="U243"/>
      <c r="V243"/>
      <c r="W243"/>
      <c r="X243"/>
      <c r="Y243"/>
      <c r="Z243"/>
      <c r="AA243"/>
      <c r="AB243"/>
      <c r="AC243"/>
      <c r="AD243"/>
      <c r="AE243"/>
    </row>
    <row r="244" spans="2:31">
      <c r="S244"/>
      <c r="T244"/>
      <c r="U244"/>
      <c r="V244"/>
      <c r="W244"/>
      <c r="X244"/>
      <c r="Y244"/>
      <c r="Z244"/>
      <c r="AA244"/>
      <c r="AB244"/>
      <c r="AC244"/>
      <c r="AD244"/>
      <c r="AE244"/>
    </row>
    <row r="245" spans="2:31">
      <c r="S245"/>
      <c r="T245"/>
      <c r="U245"/>
      <c r="V245"/>
      <c r="W245"/>
      <c r="X245"/>
      <c r="Y245"/>
      <c r="Z245"/>
      <c r="AA245"/>
      <c r="AB245"/>
      <c r="AC245"/>
      <c r="AD245"/>
      <c r="AE245"/>
    </row>
  </sheetData>
  <autoFilter ref="B2:P241" xr:uid="{A65F5C43-DBD2-4642-910F-2DCE3A2F4385}">
    <filterColumn colId="0">
      <filters>
        <filter val="BIOREP"/>
      </filters>
    </filterColumn>
  </autoFilter>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D6755-8D2B-4371-ACCE-14E5F3B4FCC2}">
  <sheetPr filterMode="1"/>
  <dimension ref="B2:X220"/>
  <sheetViews>
    <sheetView topLeftCell="A13" workbookViewId="0"/>
  </sheetViews>
  <sheetFormatPr baseColWidth="10" defaultColWidth="14.42578125" defaultRowHeight="15" customHeight="1"/>
  <cols>
    <col min="1" max="1" width="4.140625" style="99" customWidth="1"/>
    <col min="2" max="2" width="4.140625" style="99" hidden="1" customWidth="1"/>
    <col min="3" max="3" width="3" style="99" customWidth="1"/>
    <col min="4" max="4" width="3.28515625" style="99" customWidth="1"/>
    <col min="5" max="5" width="3.5703125" style="99" customWidth="1"/>
    <col min="6" max="6" width="16.140625" style="97" customWidth="1"/>
    <col min="7" max="7" width="8" style="97" customWidth="1"/>
    <col min="8" max="8" width="20" style="196" customWidth="1"/>
    <col min="9" max="9" width="14" style="97" customWidth="1"/>
    <col min="10" max="10" width="18.42578125" style="97" customWidth="1"/>
    <col min="11" max="11" width="12.85546875" style="97" customWidth="1"/>
    <col min="12" max="12" width="20.28515625" style="97" customWidth="1"/>
    <col min="13" max="13" width="18.42578125" style="99" customWidth="1"/>
    <col min="14" max="16" width="16.28515625" style="99" bestFit="1" customWidth="1"/>
    <col min="17" max="17" width="17" style="99" bestFit="1" customWidth="1"/>
    <col min="18" max="18" width="16.28515625" style="99" bestFit="1" customWidth="1"/>
    <col min="19" max="19" width="18.140625" style="99" customWidth="1"/>
    <col min="20" max="24" width="16.28515625" style="99" bestFit="1" customWidth="1"/>
    <col min="25" max="16384" width="14.42578125" style="99"/>
  </cols>
  <sheetData>
    <row r="2" spans="3:24" ht="15" customHeight="1">
      <c r="J2" s="1211" t="s">
        <v>116</v>
      </c>
      <c r="K2" s="97" t="s">
        <v>816</v>
      </c>
      <c r="L2" s="1143">
        <f t="shared" ref="L2:L13" si="0">SUM(M2:X2)</f>
        <v>93460</v>
      </c>
      <c r="M2" s="1144"/>
      <c r="N2" s="1144"/>
      <c r="O2" s="1144"/>
      <c r="P2" s="1144"/>
      <c r="Q2" s="1144">
        <v>8000</v>
      </c>
      <c r="R2" s="1144">
        <v>44580</v>
      </c>
      <c r="S2" s="1144">
        <v>14020</v>
      </c>
      <c r="T2" s="1144">
        <v>12860</v>
      </c>
      <c r="U2" s="1145"/>
      <c r="V2" s="1145">
        <v>12320</v>
      </c>
      <c r="W2" s="1144"/>
      <c r="X2" s="1144">
        <v>1680</v>
      </c>
    </row>
    <row r="3" spans="3:24" ht="15" customHeight="1">
      <c r="J3" s="1211" t="s">
        <v>116</v>
      </c>
      <c r="K3" s="97" t="s">
        <v>815</v>
      </c>
      <c r="L3" s="1143">
        <f t="shared" si="0"/>
        <v>94300</v>
      </c>
      <c r="M3" s="1144"/>
      <c r="N3" s="1144"/>
      <c r="P3" s="1144"/>
      <c r="Q3" s="1144">
        <v>8000</v>
      </c>
      <c r="R3" s="1144">
        <v>44580</v>
      </c>
      <c r="S3" s="1144">
        <v>14020</v>
      </c>
      <c r="T3" s="1144">
        <v>12860</v>
      </c>
      <c r="U3" s="1145">
        <v>800</v>
      </c>
      <c r="V3" s="1145">
        <v>12320</v>
      </c>
      <c r="W3" s="1144">
        <v>40</v>
      </c>
      <c r="X3" s="1144">
        <v>1680</v>
      </c>
    </row>
    <row r="4" spans="3:24" ht="15" customHeight="1">
      <c r="J4" s="1211" t="s">
        <v>115</v>
      </c>
      <c r="K4" s="97" t="s">
        <v>816</v>
      </c>
      <c r="L4" s="1143">
        <f t="shared" si="0"/>
        <v>708140</v>
      </c>
      <c r="M4" s="1144">
        <v>79430</v>
      </c>
      <c r="N4" s="1144"/>
      <c r="O4" s="1144">
        <v>44090</v>
      </c>
      <c r="P4" s="1144"/>
      <c r="Q4" s="1144">
        <v>64090</v>
      </c>
      <c r="R4" s="1144">
        <v>190840</v>
      </c>
      <c r="S4" s="1144">
        <v>68820</v>
      </c>
      <c r="T4" s="1144">
        <v>22740</v>
      </c>
      <c r="U4" s="1145">
        <v>32570</v>
      </c>
      <c r="V4" s="1145">
        <v>34690</v>
      </c>
      <c r="W4" s="1144">
        <v>29400</v>
      </c>
      <c r="X4" s="1144">
        <v>141470</v>
      </c>
    </row>
    <row r="5" spans="3:24" ht="15" customHeight="1">
      <c r="J5" s="1211" t="s">
        <v>115</v>
      </c>
      <c r="K5" s="97" t="s">
        <v>815</v>
      </c>
      <c r="L5" s="1143">
        <f t="shared" si="0"/>
        <v>708030</v>
      </c>
      <c r="M5" s="1144">
        <v>79430</v>
      </c>
      <c r="N5" s="1144"/>
      <c r="O5" s="99">
        <v>44090</v>
      </c>
      <c r="P5" s="1144"/>
      <c r="Q5" s="1144">
        <v>64090</v>
      </c>
      <c r="R5" s="1144">
        <v>190840</v>
      </c>
      <c r="S5" s="1144">
        <v>68820</v>
      </c>
      <c r="T5" s="1144">
        <v>22740</v>
      </c>
      <c r="U5" s="1145">
        <v>32570</v>
      </c>
      <c r="V5" s="1145">
        <v>34690</v>
      </c>
      <c r="W5" s="1144">
        <v>29290</v>
      </c>
      <c r="X5" s="1144">
        <v>141470</v>
      </c>
    </row>
    <row r="6" spans="3:24" ht="15" customHeight="1">
      <c r="J6" s="1211" t="s">
        <v>70</v>
      </c>
      <c r="K6" s="97" t="s">
        <v>816</v>
      </c>
      <c r="L6" s="1143">
        <f t="shared" si="0"/>
        <v>157000</v>
      </c>
      <c r="M6" s="1144"/>
      <c r="N6" s="1144"/>
      <c r="O6" s="1144">
        <v>48140</v>
      </c>
      <c r="P6" s="1144">
        <v>55500</v>
      </c>
      <c r="Q6" s="1144">
        <v>44000</v>
      </c>
      <c r="R6" s="1144">
        <v>9360</v>
      </c>
      <c r="S6" s="1144"/>
      <c r="T6" s="1144"/>
      <c r="U6" s="1145"/>
      <c r="V6" s="1145"/>
      <c r="W6" s="1144"/>
      <c r="X6" s="1144"/>
    </row>
    <row r="7" spans="3:24" ht="15" customHeight="1">
      <c r="J7" s="1211" t="s">
        <v>70</v>
      </c>
      <c r="K7" s="97" t="s">
        <v>815</v>
      </c>
      <c r="L7" s="1143">
        <f t="shared" si="0"/>
        <v>157000</v>
      </c>
      <c r="M7" s="1144"/>
      <c r="N7" s="1144"/>
      <c r="O7" s="1144">
        <v>48140</v>
      </c>
      <c r="P7" s="1144">
        <v>55500</v>
      </c>
      <c r="Q7" s="1144">
        <v>44000</v>
      </c>
      <c r="R7" s="1144">
        <v>9360</v>
      </c>
      <c r="S7" s="1144"/>
      <c r="T7" s="1144"/>
      <c r="U7" s="1145"/>
      <c r="V7" s="1145"/>
      <c r="W7" s="1144"/>
      <c r="X7" s="1144"/>
    </row>
    <row r="8" spans="3:24" ht="15" customHeight="1">
      <c r="J8" s="1211" t="s">
        <v>117</v>
      </c>
      <c r="K8" s="97" t="s">
        <v>816</v>
      </c>
      <c r="L8" s="1143">
        <f t="shared" si="0"/>
        <v>10282.5</v>
      </c>
      <c r="M8" s="1144">
        <v>1125</v>
      </c>
      <c r="N8" s="1144">
        <v>1162.5</v>
      </c>
      <c r="O8" s="1144">
        <v>2250</v>
      </c>
      <c r="P8" s="1144">
        <v>750</v>
      </c>
      <c r="Q8" s="1144">
        <v>750</v>
      </c>
      <c r="R8" s="1144">
        <v>2250</v>
      </c>
      <c r="S8" s="1144">
        <v>1125</v>
      </c>
      <c r="T8" s="1144">
        <v>750</v>
      </c>
      <c r="U8" s="1145"/>
      <c r="V8" s="1145">
        <v>80</v>
      </c>
      <c r="W8" s="1144">
        <v>20</v>
      </c>
      <c r="X8" s="1144">
        <v>20</v>
      </c>
    </row>
    <row r="9" spans="3:24" ht="15" customHeight="1">
      <c r="J9" s="1211" t="s">
        <v>117</v>
      </c>
      <c r="K9" s="97" t="s">
        <v>816</v>
      </c>
      <c r="L9" s="1143">
        <f t="shared" si="0"/>
        <v>238300</v>
      </c>
      <c r="M9" s="1144">
        <v>800</v>
      </c>
      <c r="N9" s="1144">
        <v>400</v>
      </c>
      <c r="O9" s="1144">
        <v>8000</v>
      </c>
      <c r="P9" s="1144">
        <v>10000</v>
      </c>
      <c r="Q9" s="1144">
        <v>56000</v>
      </c>
      <c r="R9" s="1144">
        <v>30000</v>
      </c>
      <c r="S9" s="1144">
        <v>41160</v>
      </c>
      <c r="T9" s="1144">
        <v>35500</v>
      </c>
      <c r="U9" s="1145">
        <v>40400</v>
      </c>
      <c r="V9" s="1145">
        <v>15800</v>
      </c>
      <c r="W9" s="1144"/>
      <c r="X9" s="1144">
        <v>240</v>
      </c>
    </row>
    <row r="10" spans="3:24" ht="15" customHeight="1">
      <c r="J10" s="1211" t="s">
        <v>117</v>
      </c>
      <c r="K10" s="97" t="s">
        <v>815</v>
      </c>
      <c r="L10" s="1143">
        <f t="shared" si="0"/>
        <v>241004.375</v>
      </c>
      <c r="M10" s="1144">
        <v>1906.25</v>
      </c>
      <c r="N10" s="1144">
        <v>1543.125</v>
      </c>
      <c r="O10" s="1144">
        <v>8000</v>
      </c>
      <c r="P10" s="1144">
        <v>10000</v>
      </c>
      <c r="Q10" s="1144">
        <v>56000</v>
      </c>
      <c r="R10" s="1144">
        <v>30000</v>
      </c>
      <c r="S10" s="1144">
        <v>41535</v>
      </c>
      <c r="T10" s="1144">
        <v>35500</v>
      </c>
      <c r="U10" s="1145">
        <v>40400</v>
      </c>
      <c r="V10" s="1145">
        <v>15880</v>
      </c>
      <c r="W10" s="1144"/>
      <c r="X10" s="1144">
        <v>240</v>
      </c>
    </row>
    <row r="11" spans="3:24" ht="15" customHeight="1">
      <c r="J11" s="1211" t="s">
        <v>684</v>
      </c>
      <c r="K11" s="97" t="s">
        <v>816</v>
      </c>
      <c r="L11" s="97">
        <f t="shared" si="0"/>
        <v>36560</v>
      </c>
      <c r="M11" s="98">
        <v>6600</v>
      </c>
      <c r="N11" s="98">
        <v>2800</v>
      </c>
      <c r="O11" s="98">
        <v>7160</v>
      </c>
      <c r="P11" s="98">
        <v>800</v>
      </c>
      <c r="Q11" s="98">
        <v>3000</v>
      </c>
      <c r="R11" s="98">
        <v>4220</v>
      </c>
      <c r="S11" s="98">
        <v>2000</v>
      </c>
      <c r="T11" s="98">
        <v>3140</v>
      </c>
      <c r="U11" s="98">
        <v>120</v>
      </c>
      <c r="V11" s="98">
        <v>1220</v>
      </c>
      <c r="W11" s="98">
        <v>4480</v>
      </c>
      <c r="X11" s="98">
        <v>1020</v>
      </c>
    </row>
    <row r="12" spans="3:24" ht="15" customHeight="1">
      <c r="J12" s="1211" t="s">
        <v>684</v>
      </c>
      <c r="K12" s="97" t="s">
        <v>814</v>
      </c>
      <c r="L12" s="97">
        <f t="shared" si="0"/>
        <v>20560</v>
      </c>
      <c r="M12" s="98">
        <v>5600</v>
      </c>
      <c r="N12" s="98">
        <v>3600</v>
      </c>
      <c r="O12" s="98">
        <v>2440</v>
      </c>
      <c r="P12" s="98">
        <v>780</v>
      </c>
      <c r="Q12" s="98">
        <v>2780</v>
      </c>
      <c r="R12" s="98">
        <v>1400</v>
      </c>
      <c r="S12" s="98">
        <v>700</v>
      </c>
      <c r="T12" s="98">
        <v>300</v>
      </c>
      <c r="U12" s="98">
        <v>960</v>
      </c>
      <c r="V12" s="98">
        <v>440</v>
      </c>
      <c r="W12" s="98">
        <v>740</v>
      </c>
      <c r="X12" s="98">
        <v>820</v>
      </c>
    </row>
    <row r="13" spans="3:24" ht="15" customHeight="1">
      <c r="J13" s="1211" t="s">
        <v>684</v>
      </c>
      <c r="K13" s="97" t="s">
        <v>815</v>
      </c>
      <c r="L13" s="97">
        <f t="shared" si="0"/>
        <v>28100</v>
      </c>
      <c r="M13" s="98">
        <v>6600</v>
      </c>
      <c r="N13" s="98">
        <v>2800</v>
      </c>
      <c r="O13" s="98">
        <v>7160</v>
      </c>
      <c r="P13" s="98">
        <v>800</v>
      </c>
      <c r="Q13" s="98">
        <v>3000</v>
      </c>
      <c r="R13" s="98">
        <v>4220</v>
      </c>
      <c r="S13" s="98"/>
      <c r="T13" s="98">
        <v>3140</v>
      </c>
      <c r="U13" s="1146">
        <v>120</v>
      </c>
      <c r="V13" s="1146">
        <v>260</v>
      </c>
      <c r="W13" s="98"/>
      <c r="X13" s="98"/>
    </row>
    <row r="14" spans="3:24" ht="15" customHeight="1">
      <c r="J14" s="1211"/>
      <c r="M14" s="98"/>
      <c r="N14" s="98"/>
      <c r="O14" s="98"/>
      <c r="P14" s="98"/>
      <c r="Q14" s="98"/>
      <c r="R14" s="98"/>
      <c r="S14" s="98"/>
      <c r="T14" s="98"/>
      <c r="U14" s="1146"/>
      <c r="V14" s="1146"/>
      <c r="W14" s="98"/>
      <c r="X14" s="98"/>
    </row>
    <row r="15" spans="3:24" ht="15.75" thickBot="1">
      <c r="F15" s="860" t="e">
        <f>(#REF!+#REF!+#REF!+#REF!)</f>
        <v>#REF!</v>
      </c>
      <c r="G15" s="860"/>
      <c r="H15" s="861"/>
      <c r="I15" s="860"/>
      <c r="J15" s="860"/>
      <c r="K15" s="102"/>
      <c r="L15" s="862">
        <f t="shared" ref="L15:X15" si="1">SUBTOTAL(9,L20:L62)</f>
        <v>1632534.6911080007</v>
      </c>
      <c r="M15" s="862">
        <f t="shared" si="1"/>
        <v>442877.67960285716</v>
      </c>
      <c r="N15" s="862">
        <f t="shared" si="1"/>
        <v>41006.829615311013</v>
      </c>
      <c r="O15" s="862">
        <f t="shared" si="1"/>
        <v>131977.75214988261</v>
      </c>
      <c r="P15" s="862">
        <f t="shared" si="1"/>
        <v>18435.916610552384</v>
      </c>
      <c r="Q15" s="862">
        <f t="shared" si="1"/>
        <v>205202.80953340261</v>
      </c>
      <c r="R15" s="862">
        <f t="shared" si="1"/>
        <v>70821.712076986325</v>
      </c>
      <c r="S15" s="862">
        <f t="shared" si="1"/>
        <v>593667.3996022857</v>
      </c>
      <c r="T15" s="862">
        <f t="shared" si="1"/>
        <v>54906.557460007207</v>
      </c>
      <c r="U15" s="862">
        <f t="shared" si="1"/>
        <v>7500</v>
      </c>
      <c r="V15" s="862">
        <f t="shared" si="1"/>
        <v>2500</v>
      </c>
      <c r="W15" s="862">
        <f t="shared" si="1"/>
        <v>59718.320171001433</v>
      </c>
      <c r="X15" s="862">
        <f t="shared" si="1"/>
        <v>3919.7142857142858</v>
      </c>
    </row>
    <row r="16" spans="3:24" ht="15" customHeight="1">
      <c r="C16" s="1605" t="s">
        <v>0</v>
      </c>
      <c r="D16" s="1608" t="s">
        <v>94</v>
      </c>
      <c r="E16" s="1608" t="s">
        <v>664</v>
      </c>
      <c r="F16" s="1608" t="s">
        <v>2</v>
      </c>
      <c r="G16" s="1608" t="s">
        <v>665</v>
      </c>
      <c r="H16" s="1623" t="s">
        <v>666</v>
      </c>
      <c r="I16" s="1611" t="s">
        <v>667</v>
      </c>
      <c r="J16" s="1611" t="s">
        <v>668</v>
      </c>
      <c r="K16" s="1614" t="s">
        <v>75</v>
      </c>
      <c r="L16" s="1614" t="s">
        <v>669</v>
      </c>
      <c r="M16" s="863" t="s">
        <v>670</v>
      </c>
      <c r="N16" s="864" t="s">
        <v>671</v>
      </c>
      <c r="O16" s="863" t="s">
        <v>672</v>
      </c>
      <c r="P16" s="864" t="s">
        <v>673</v>
      </c>
      <c r="Q16" s="863" t="s">
        <v>674</v>
      </c>
      <c r="R16" s="864" t="s">
        <v>675</v>
      </c>
      <c r="S16" s="863" t="s">
        <v>676</v>
      </c>
      <c r="T16" s="864" t="s">
        <v>677</v>
      </c>
      <c r="U16" s="863" t="s">
        <v>678</v>
      </c>
      <c r="V16" s="864" t="s">
        <v>679</v>
      </c>
      <c r="W16" s="863" t="s">
        <v>680</v>
      </c>
      <c r="X16" s="865" t="s">
        <v>681</v>
      </c>
    </row>
    <row r="17" spans="3:24" ht="16.5" customHeight="1">
      <c r="C17" s="1606"/>
      <c r="D17" s="1609"/>
      <c r="E17" s="1609"/>
      <c r="F17" s="1609"/>
      <c r="G17" s="1609"/>
      <c r="H17" s="1624"/>
      <c r="I17" s="1612"/>
      <c r="J17" s="1612"/>
      <c r="K17" s="1615"/>
      <c r="L17" s="1615"/>
      <c r="M17" s="1092">
        <f t="shared" ref="M17:X17" si="2">WEEKNUM(M18,21)</f>
        <v>1</v>
      </c>
      <c r="N17" s="1093">
        <f t="shared" si="2"/>
        <v>5</v>
      </c>
      <c r="O17" s="1092">
        <f t="shared" si="2"/>
        <v>9</v>
      </c>
      <c r="P17" s="1093">
        <f t="shared" si="2"/>
        <v>14</v>
      </c>
      <c r="Q17" s="1092">
        <f t="shared" si="2"/>
        <v>18</v>
      </c>
      <c r="R17" s="1093">
        <f t="shared" si="2"/>
        <v>22</v>
      </c>
      <c r="S17" s="1092">
        <f t="shared" si="2"/>
        <v>27</v>
      </c>
      <c r="T17" s="1093">
        <f t="shared" si="2"/>
        <v>31</v>
      </c>
      <c r="U17" s="1092">
        <f t="shared" si="2"/>
        <v>35</v>
      </c>
      <c r="V17" s="1093">
        <f t="shared" si="2"/>
        <v>40</v>
      </c>
      <c r="W17" s="1092">
        <f t="shared" si="2"/>
        <v>44</v>
      </c>
      <c r="X17" s="1094">
        <f t="shared" si="2"/>
        <v>48</v>
      </c>
    </row>
    <row r="18" spans="3:24" ht="15.75" thickBot="1">
      <c r="C18" s="1607"/>
      <c r="D18" s="1610"/>
      <c r="E18" s="1610"/>
      <c r="F18" s="1610"/>
      <c r="G18" s="1610"/>
      <c r="H18" s="1625"/>
      <c r="I18" s="1613"/>
      <c r="J18" s="1613"/>
      <c r="K18" s="1616"/>
      <c r="L18" s="1616"/>
      <c r="M18" s="869">
        <v>45292</v>
      </c>
      <c r="N18" s="870">
        <v>45323</v>
      </c>
      <c r="O18" s="869">
        <v>45352</v>
      </c>
      <c r="P18" s="870">
        <v>45383</v>
      </c>
      <c r="Q18" s="869">
        <v>45413</v>
      </c>
      <c r="R18" s="870">
        <v>45444</v>
      </c>
      <c r="S18" s="869">
        <v>45474</v>
      </c>
      <c r="T18" s="870">
        <v>45505</v>
      </c>
      <c r="U18" s="869">
        <v>45536</v>
      </c>
      <c r="V18" s="870">
        <v>45566</v>
      </c>
      <c r="W18" s="869">
        <v>45597</v>
      </c>
      <c r="X18" s="871">
        <v>45627</v>
      </c>
    </row>
    <row r="19" spans="3:24" ht="9.75" customHeight="1" thickBot="1">
      <c r="C19" s="872"/>
      <c r="D19" s="873"/>
      <c r="E19" s="873"/>
      <c r="F19" s="874"/>
      <c r="G19" s="874"/>
      <c r="H19" s="875"/>
      <c r="I19" s="874"/>
      <c r="J19" s="874"/>
      <c r="K19" s="874"/>
      <c r="L19" s="874"/>
      <c r="M19" s="873"/>
      <c r="N19" s="876"/>
      <c r="O19" s="876"/>
      <c r="P19" s="876"/>
      <c r="Q19" s="876"/>
      <c r="R19" s="876"/>
      <c r="S19" s="876"/>
      <c r="T19" s="876"/>
      <c r="U19" s="876"/>
      <c r="V19" s="876"/>
      <c r="W19" s="876"/>
      <c r="X19" s="877"/>
    </row>
    <row r="20" spans="3:24" ht="20.100000000000001" hidden="1" customHeight="1" collapsed="1">
      <c r="C20" s="878">
        <v>1</v>
      </c>
      <c r="D20" s="879">
        <v>0</v>
      </c>
      <c r="E20" s="879" t="s">
        <v>242</v>
      </c>
      <c r="F20" s="880" t="s">
        <v>684</v>
      </c>
      <c r="G20" s="1617"/>
      <c r="H20" s="1617"/>
      <c r="I20" s="1619">
        <v>1000</v>
      </c>
      <c r="J20" s="1621">
        <f>AVERAGE(M21:X21)</f>
        <v>14.164492562545522</v>
      </c>
      <c r="K20" s="881" t="s">
        <v>682</v>
      </c>
      <c r="L20" s="882">
        <f>SUM(M20:X20)</f>
        <v>35260</v>
      </c>
      <c r="M20" s="987">
        <v>6600</v>
      </c>
      <c r="N20" s="883">
        <v>2800</v>
      </c>
      <c r="O20" s="883">
        <v>7160</v>
      </c>
      <c r="P20" s="883">
        <v>800</v>
      </c>
      <c r="Q20" s="883">
        <v>3000</v>
      </c>
      <c r="R20" s="883">
        <v>4220</v>
      </c>
      <c r="S20" s="883">
        <v>2000</v>
      </c>
      <c r="T20" s="883">
        <v>3140</v>
      </c>
      <c r="U20" s="883">
        <v>120</v>
      </c>
      <c r="V20" s="883">
        <v>1220</v>
      </c>
      <c r="W20" s="883">
        <v>4100</v>
      </c>
      <c r="X20" s="991">
        <v>100</v>
      </c>
    </row>
    <row r="21" spans="3:24" ht="20.100000000000001" hidden="1" customHeight="1">
      <c r="C21" s="948"/>
      <c r="D21" s="1275">
        <v>0</v>
      </c>
      <c r="E21" s="1275" t="s">
        <v>242</v>
      </c>
      <c r="F21" s="950" t="s">
        <v>684</v>
      </c>
      <c r="G21" s="1617"/>
      <c r="H21" s="1617"/>
      <c r="I21" s="1619"/>
      <c r="J21" s="1621"/>
      <c r="K21" s="881" t="s">
        <v>688</v>
      </c>
      <c r="L21" s="952"/>
      <c r="M21" s="970">
        <f>(M22/M20)</f>
        <v>12.745102970129869</v>
      </c>
      <c r="N21" s="970">
        <f t="shared" ref="N21:W21" si="3">(N22/N20)</f>
        <v>14.645296291182504</v>
      </c>
      <c r="O21" s="970">
        <f t="shared" si="3"/>
        <v>14.591864825402597</v>
      </c>
      <c r="P21" s="970">
        <f t="shared" si="3"/>
        <v>14.294895763190477</v>
      </c>
      <c r="Q21" s="970">
        <f t="shared" si="3"/>
        <v>14.708936511134199</v>
      </c>
      <c r="R21" s="970">
        <f t="shared" si="3"/>
        <v>14.708936511134199</v>
      </c>
      <c r="S21" s="970">
        <f t="shared" si="3"/>
        <v>13.893699801142857</v>
      </c>
      <c r="T21" s="970">
        <f t="shared" si="3"/>
        <v>13.903362248409939</v>
      </c>
      <c r="U21" s="970"/>
      <c r="V21" s="970"/>
      <c r="W21" s="970">
        <f t="shared" si="3"/>
        <v>13.955687846585715</v>
      </c>
      <c r="X21" s="976">
        <f>(X22/X20)</f>
        <v>14.197142857142858</v>
      </c>
    </row>
    <row r="22" spans="3:24" ht="20.100000000000001" hidden="1" customHeight="1" thickBot="1">
      <c r="C22" s="885"/>
      <c r="D22" s="1278">
        <v>0</v>
      </c>
      <c r="E22" s="1278" t="s">
        <v>242</v>
      </c>
      <c r="F22" s="887" t="s">
        <v>684</v>
      </c>
      <c r="G22" s="1618"/>
      <c r="H22" s="1618"/>
      <c r="I22" s="1620"/>
      <c r="J22" s="1622"/>
      <c r="K22" s="888" t="s">
        <v>569</v>
      </c>
      <c r="L22" s="889">
        <f>SUM(M22:X22)</f>
        <v>477318.69110800064</v>
      </c>
      <c r="M22" s="919">
        <f>SUM(M25+M28+M31+M34+M37+M40)</f>
        <v>84117.679602857141</v>
      </c>
      <c r="N22" s="974">
        <f t="shared" ref="N22:X22" si="4">SUM(N25+N28+N31+N34+N37+N40)</f>
        <v>41006.829615311013</v>
      </c>
      <c r="O22" s="974">
        <f t="shared" si="4"/>
        <v>104477.7521498826</v>
      </c>
      <c r="P22" s="974">
        <f t="shared" si="4"/>
        <v>11435.916610552382</v>
      </c>
      <c r="Q22" s="974">
        <f t="shared" si="4"/>
        <v>44126.8095334026</v>
      </c>
      <c r="R22" s="974">
        <f t="shared" si="4"/>
        <v>62071.712076986325</v>
      </c>
      <c r="S22" s="974">
        <f t="shared" si="4"/>
        <v>27787.399602285714</v>
      </c>
      <c r="T22" s="974">
        <f t="shared" si="4"/>
        <v>43656.557460007207</v>
      </c>
      <c r="U22" s="974">
        <f t="shared" si="4"/>
        <v>0</v>
      </c>
      <c r="V22" s="974">
        <f t="shared" si="4"/>
        <v>0</v>
      </c>
      <c r="W22" s="974">
        <f t="shared" si="4"/>
        <v>57218.320171001433</v>
      </c>
      <c r="X22" s="975">
        <f t="shared" si="4"/>
        <v>1419.7142857142858</v>
      </c>
    </row>
    <row r="23" spans="3:24" ht="20.100000000000001" hidden="1" customHeight="1">
      <c r="C23" s="890"/>
      <c r="D23" s="891">
        <v>1</v>
      </c>
      <c r="E23" s="891" t="s">
        <v>100</v>
      </c>
      <c r="F23" s="892" t="s">
        <v>684</v>
      </c>
      <c r="G23" s="1626">
        <v>0.5</v>
      </c>
      <c r="H23" s="981" t="s">
        <v>218</v>
      </c>
      <c r="I23" s="1629">
        <f>(I20*G23)</f>
        <v>500</v>
      </c>
      <c r="J23" s="1632">
        <f>AVERAGE(M24:X24)</f>
        <v>1</v>
      </c>
      <c r="K23" s="894" t="s">
        <v>682</v>
      </c>
      <c r="L23" s="895">
        <f>SUM(M23:X23)</f>
        <v>17630</v>
      </c>
      <c r="M23" s="923">
        <f>(M20*$G23)</f>
        <v>3300</v>
      </c>
      <c r="N23" s="897">
        <f t="shared" ref="N23:W23" si="5">(N20*$G23)</f>
        <v>1400</v>
      </c>
      <c r="O23" s="897">
        <f t="shared" si="5"/>
        <v>3580</v>
      </c>
      <c r="P23" s="897">
        <f t="shared" si="5"/>
        <v>400</v>
      </c>
      <c r="Q23" s="897">
        <f t="shared" si="5"/>
        <v>1500</v>
      </c>
      <c r="R23" s="897">
        <f t="shared" si="5"/>
        <v>2110</v>
      </c>
      <c r="S23" s="897">
        <f t="shared" si="5"/>
        <v>1000</v>
      </c>
      <c r="T23" s="897">
        <f t="shared" si="5"/>
        <v>1570</v>
      </c>
      <c r="U23" s="897">
        <f t="shared" si="5"/>
        <v>60</v>
      </c>
      <c r="V23" s="897">
        <f t="shared" si="5"/>
        <v>610</v>
      </c>
      <c r="W23" s="897">
        <f t="shared" si="5"/>
        <v>2050</v>
      </c>
      <c r="X23" s="898">
        <f>(X20*$G23)</f>
        <v>50</v>
      </c>
    </row>
    <row r="24" spans="3:24" ht="20.100000000000001" hidden="1" customHeight="1">
      <c r="C24" s="878"/>
      <c r="D24" s="879">
        <v>1</v>
      </c>
      <c r="E24" s="879" t="s">
        <v>100</v>
      </c>
      <c r="F24" s="880" t="s">
        <v>684</v>
      </c>
      <c r="G24" s="1627"/>
      <c r="H24" s="982" t="s">
        <v>218</v>
      </c>
      <c r="I24" s="1630"/>
      <c r="J24" s="1633"/>
      <c r="K24" s="881" t="s">
        <v>688</v>
      </c>
      <c r="L24" s="946"/>
      <c r="M24" s="970">
        <v>1</v>
      </c>
      <c r="N24" s="970">
        <v>1</v>
      </c>
      <c r="O24" s="970">
        <v>1</v>
      </c>
      <c r="P24" s="970">
        <v>1</v>
      </c>
      <c r="Q24" s="970">
        <v>1</v>
      </c>
      <c r="R24" s="970">
        <v>1</v>
      </c>
      <c r="S24" s="970">
        <v>1</v>
      </c>
      <c r="T24" s="970">
        <v>1</v>
      </c>
      <c r="U24" s="970"/>
      <c r="V24" s="970"/>
      <c r="W24" s="970">
        <v>1</v>
      </c>
      <c r="X24" s="990">
        <v>1</v>
      </c>
    </row>
    <row r="25" spans="3:24" ht="20.100000000000001" customHeight="1">
      <c r="C25" s="899"/>
      <c r="D25" s="1276">
        <v>1</v>
      </c>
      <c r="E25" s="1276" t="s">
        <v>100</v>
      </c>
      <c r="F25" s="900" t="s">
        <v>684</v>
      </c>
      <c r="G25" s="1628"/>
      <c r="H25" s="983" t="s">
        <v>218</v>
      </c>
      <c r="I25" s="1631"/>
      <c r="J25" s="1634"/>
      <c r="K25" s="901" t="s">
        <v>569</v>
      </c>
      <c r="L25" s="902">
        <f>SUM(M25:X25)</f>
        <v>16960</v>
      </c>
      <c r="M25" s="927">
        <f t="shared" ref="M25:X25" si="6">(M23*M24)</f>
        <v>3300</v>
      </c>
      <c r="N25" s="903">
        <f t="shared" si="6"/>
        <v>1400</v>
      </c>
      <c r="O25" s="903">
        <f t="shared" si="6"/>
        <v>3580</v>
      </c>
      <c r="P25" s="903">
        <f t="shared" si="6"/>
        <v>400</v>
      </c>
      <c r="Q25" s="903">
        <f t="shared" si="6"/>
        <v>1500</v>
      </c>
      <c r="R25" s="903">
        <f t="shared" si="6"/>
        <v>2110</v>
      </c>
      <c r="S25" s="903">
        <f t="shared" si="6"/>
        <v>1000</v>
      </c>
      <c r="T25" s="903">
        <f t="shared" si="6"/>
        <v>1570</v>
      </c>
      <c r="U25" s="903">
        <f t="shared" si="6"/>
        <v>0</v>
      </c>
      <c r="V25" s="903">
        <f t="shared" si="6"/>
        <v>0</v>
      </c>
      <c r="W25" s="903">
        <f t="shared" si="6"/>
        <v>2050</v>
      </c>
      <c r="X25" s="904">
        <f t="shared" si="6"/>
        <v>50</v>
      </c>
    </row>
    <row r="26" spans="3:24" ht="19.5" hidden="1" customHeight="1">
      <c r="C26" s="899"/>
      <c r="D26" s="1276">
        <v>2</v>
      </c>
      <c r="E26" s="1276" t="s">
        <v>100</v>
      </c>
      <c r="F26" s="900" t="s">
        <v>684</v>
      </c>
      <c r="G26" s="1628">
        <v>2.5000000000000001E-2</v>
      </c>
      <c r="H26" s="983" t="s">
        <v>208</v>
      </c>
      <c r="I26" s="1635">
        <f>(I20*G26)</f>
        <v>25</v>
      </c>
      <c r="J26" s="1636">
        <f>AVERAGE(M27:X27)</f>
        <v>35.298482930822516</v>
      </c>
      <c r="K26" s="901" t="s">
        <v>682</v>
      </c>
      <c r="L26" s="933">
        <f t="shared" ref="L26:L41" si="7">SUM(M26:X26)</f>
        <v>881.5</v>
      </c>
      <c r="M26" s="934">
        <f>(M20*$G26)</f>
        <v>165</v>
      </c>
      <c r="N26" s="935">
        <f t="shared" ref="N26:X26" si="8">(N20*$G26)</f>
        <v>70</v>
      </c>
      <c r="O26" s="935">
        <f t="shared" si="8"/>
        <v>179</v>
      </c>
      <c r="P26" s="935">
        <f t="shared" si="8"/>
        <v>20</v>
      </c>
      <c r="Q26" s="935">
        <f t="shared" si="8"/>
        <v>75</v>
      </c>
      <c r="R26" s="935">
        <f t="shared" si="8"/>
        <v>105.5</v>
      </c>
      <c r="S26" s="935">
        <f t="shared" si="8"/>
        <v>50</v>
      </c>
      <c r="T26" s="935">
        <f t="shared" si="8"/>
        <v>78.5</v>
      </c>
      <c r="U26" s="935">
        <f t="shared" si="8"/>
        <v>3</v>
      </c>
      <c r="V26" s="935">
        <f t="shared" si="8"/>
        <v>30.5</v>
      </c>
      <c r="W26" s="935">
        <f t="shared" si="8"/>
        <v>102.5</v>
      </c>
      <c r="X26" s="936">
        <f t="shared" si="8"/>
        <v>2.5</v>
      </c>
    </row>
    <row r="27" spans="3:24" ht="19.5" hidden="1" customHeight="1">
      <c r="C27" s="899"/>
      <c r="D27" s="1276">
        <v>2</v>
      </c>
      <c r="E27" s="1276" t="s">
        <v>100</v>
      </c>
      <c r="F27" s="900" t="s">
        <v>684</v>
      </c>
      <c r="G27" s="1628"/>
      <c r="H27" s="983" t="s">
        <v>208</v>
      </c>
      <c r="I27" s="1635"/>
      <c r="J27" s="1633"/>
      <c r="K27" s="901" t="s">
        <v>688</v>
      </c>
      <c r="L27" s="933"/>
      <c r="M27" s="970">
        <v>33.089833090909096</v>
      </c>
      <c r="N27" s="970">
        <v>33.089833090909096</v>
      </c>
      <c r="O27" s="970">
        <v>33.089833090909096</v>
      </c>
      <c r="P27" s="970">
        <v>31.473013666666667</v>
      </c>
      <c r="Q27" s="970">
        <v>41.177500727272729</v>
      </c>
      <c r="R27" s="970">
        <v>41.177500727272729</v>
      </c>
      <c r="S27" s="970">
        <v>29.448190857142855</v>
      </c>
      <c r="T27" s="970">
        <v>29.448190857142855</v>
      </c>
      <c r="U27" s="970"/>
      <c r="V27" s="970"/>
      <c r="W27" s="970">
        <v>40.390933199999999</v>
      </c>
      <c r="X27" s="990">
        <f>(2.32*17.5)</f>
        <v>40.599999999999994</v>
      </c>
    </row>
    <row r="28" spans="3:24" ht="19.5" customHeight="1">
      <c r="C28" s="899"/>
      <c r="D28" s="1276">
        <v>2</v>
      </c>
      <c r="E28" s="1276" t="s">
        <v>100</v>
      </c>
      <c r="F28" s="900" t="s">
        <v>684</v>
      </c>
      <c r="G28" s="1628"/>
      <c r="H28" s="983" t="s">
        <v>208</v>
      </c>
      <c r="I28" s="1635"/>
      <c r="J28" s="1634"/>
      <c r="K28" s="901" t="s">
        <v>569</v>
      </c>
      <c r="L28" s="902">
        <f t="shared" si="7"/>
        <v>29786.853232385281</v>
      </c>
      <c r="M28" s="927">
        <f t="shared" ref="M28:X28" si="9">(M26*M27)</f>
        <v>5459.8224600000012</v>
      </c>
      <c r="N28" s="903">
        <f t="shared" si="9"/>
        <v>2316.2883163636366</v>
      </c>
      <c r="O28" s="903">
        <f t="shared" si="9"/>
        <v>5923.0801232727281</v>
      </c>
      <c r="P28" s="903">
        <f t="shared" si="9"/>
        <v>629.46027333333336</v>
      </c>
      <c r="Q28" s="903">
        <f t="shared" si="9"/>
        <v>3088.3125545454545</v>
      </c>
      <c r="R28" s="903">
        <f t="shared" si="9"/>
        <v>4344.2263267272729</v>
      </c>
      <c r="S28" s="903">
        <f t="shared" si="9"/>
        <v>1472.4095428571427</v>
      </c>
      <c r="T28" s="903">
        <f t="shared" si="9"/>
        <v>2311.6829822857139</v>
      </c>
      <c r="U28" s="903">
        <f t="shared" si="9"/>
        <v>0</v>
      </c>
      <c r="V28" s="903">
        <f t="shared" si="9"/>
        <v>0</v>
      </c>
      <c r="W28" s="903">
        <f t="shared" si="9"/>
        <v>4140.0706529999998</v>
      </c>
      <c r="X28" s="904">
        <f t="shared" si="9"/>
        <v>101.49999999999999</v>
      </c>
    </row>
    <row r="29" spans="3:24" ht="20.100000000000001" hidden="1" customHeight="1">
      <c r="C29" s="899"/>
      <c r="D29" s="1276">
        <v>3</v>
      </c>
      <c r="E29" s="1276" t="s">
        <v>100</v>
      </c>
      <c r="F29" s="900" t="s">
        <v>684</v>
      </c>
      <c r="G29" s="1628">
        <v>0.15</v>
      </c>
      <c r="H29" s="983" t="s">
        <v>685</v>
      </c>
      <c r="I29" s="1635">
        <f>(I20*G29)</f>
        <v>150</v>
      </c>
      <c r="J29" s="1636">
        <f>AVERAGE(M30:X30)</f>
        <v>25.88020326183306</v>
      </c>
      <c r="K29" s="901" t="s">
        <v>682</v>
      </c>
      <c r="L29" s="933">
        <f t="shared" si="7"/>
        <v>5289</v>
      </c>
      <c r="M29" s="934">
        <f>(M20*$G29)</f>
        <v>990</v>
      </c>
      <c r="N29" s="935">
        <f t="shared" ref="N29:X29" si="10">(N20*$G29)</f>
        <v>420</v>
      </c>
      <c r="O29" s="935">
        <f t="shared" si="10"/>
        <v>1074</v>
      </c>
      <c r="P29" s="935">
        <f t="shared" si="10"/>
        <v>120</v>
      </c>
      <c r="Q29" s="935">
        <f t="shared" si="10"/>
        <v>450</v>
      </c>
      <c r="R29" s="935">
        <f t="shared" si="10"/>
        <v>633</v>
      </c>
      <c r="S29" s="935">
        <f t="shared" si="10"/>
        <v>300</v>
      </c>
      <c r="T29" s="935">
        <f t="shared" si="10"/>
        <v>471</v>
      </c>
      <c r="U29" s="935">
        <f t="shared" si="10"/>
        <v>18</v>
      </c>
      <c r="V29" s="935">
        <f t="shared" si="10"/>
        <v>183</v>
      </c>
      <c r="W29" s="935">
        <f t="shared" si="10"/>
        <v>615</v>
      </c>
      <c r="X29" s="936">
        <f t="shared" si="10"/>
        <v>15</v>
      </c>
    </row>
    <row r="30" spans="3:24" ht="20.100000000000001" hidden="1" customHeight="1">
      <c r="C30" s="899"/>
      <c r="D30" s="1276">
        <v>3</v>
      </c>
      <c r="E30" s="1276" t="s">
        <v>100</v>
      </c>
      <c r="F30" s="900" t="s">
        <v>684</v>
      </c>
      <c r="G30" s="1628"/>
      <c r="H30" s="983" t="s">
        <v>685</v>
      </c>
      <c r="I30" s="1635"/>
      <c r="J30" s="1633"/>
      <c r="K30" s="901" t="s">
        <v>688</v>
      </c>
      <c r="L30" s="933"/>
      <c r="M30" s="970">
        <f>1750/100</f>
        <v>17.5</v>
      </c>
      <c r="N30" s="970">
        <v>30.167955473684216</v>
      </c>
      <c r="O30" s="970">
        <v>29.81174570181819</v>
      </c>
      <c r="P30" s="970">
        <v>28.10142185777778</v>
      </c>
      <c r="Q30" s="970">
        <v>28.10142185777778</v>
      </c>
      <c r="R30" s="970">
        <v>28.10142185777778</v>
      </c>
      <c r="S30" s="970">
        <v>24.621395436190468</v>
      </c>
      <c r="T30" s="970">
        <v>24.68581175130435</v>
      </c>
      <c r="U30" s="970"/>
      <c r="V30" s="970"/>
      <c r="W30" s="970">
        <v>23.210858681999998</v>
      </c>
      <c r="X30" s="990">
        <f>(35*17.5)/25</f>
        <v>24.5</v>
      </c>
    </row>
    <row r="31" spans="3:24" ht="20.100000000000001" customHeight="1">
      <c r="C31" s="899"/>
      <c r="D31" s="1276">
        <v>3</v>
      </c>
      <c r="E31" s="1276" t="s">
        <v>100</v>
      </c>
      <c r="F31" s="900" t="s">
        <v>684</v>
      </c>
      <c r="G31" s="1628"/>
      <c r="H31" s="983" t="s">
        <v>685</v>
      </c>
      <c r="I31" s="1635"/>
      <c r="J31" s="1634"/>
      <c r="K31" s="901" t="s">
        <v>569</v>
      </c>
      <c r="L31" s="902">
        <f t="shared" si="7"/>
        <v>129474.98073275827</v>
      </c>
      <c r="M31" s="927">
        <f t="shared" ref="M31:X31" si="11">(M29*M30)</f>
        <v>17325</v>
      </c>
      <c r="N31" s="903">
        <f t="shared" si="11"/>
        <v>12670.541298947372</v>
      </c>
      <c r="O31" s="903">
        <f t="shared" si="11"/>
        <v>32017.814883752737</v>
      </c>
      <c r="P31" s="903">
        <f t="shared" si="11"/>
        <v>3372.1706229333336</v>
      </c>
      <c r="Q31" s="903">
        <f t="shared" si="11"/>
        <v>12645.639836</v>
      </c>
      <c r="R31" s="903">
        <f t="shared" si="11"/>
        <v>17788.200035973336</v>
      </c>
      <c r="S31" s="903">
        <f t="shared" si="11"/>
        <v>7386.4186308571407</v>
      </c>
      <c r="T31" s="903">
        <f t="shared" si="11"/>
        <v>11627.017334864349</v>
      </c>
      <c r="U31" s="903">
        <f t="shared" si="11"/>
        <v>0</v>
      </c>
      <c r="V31" s="903">
        <f t="shared" si="11"/>
        <v>0</v>
      </c>
      <c r="W31" s="903">
        <f t="shared" si="11"/>
        <v>14274.678089429999</v>
      </c>
      <c r="X31" s="904">
        <f t="shared" si="11"/>
        <v>367.5</v>
      </c>
    </row>
    <row r="32" spans="3:24" ht="20.100000000000001" hidden="1" customHeight="1">
      <c r="C32" s="899"/>
      <c r="D32" s="1276">
        <v>4</v>
      </c>
      <c r="E32" s="1276" t="s">
        <v>100</v>
      </c>
      <c r="F32" s="900" t="s">
        <v>684</v>
      </c>
      <c r="G32" s="1628">
        <v>0.375</v>
      </c>
      <c r="H32" s="983" t="s">
        <v>217</v>
      </c>
      <c r="I32" s="1631">
        <f>(I20*G32)</f>
        <v>375</v>
      </c>
      <c r="J32" s="1636">
        <f>AVERAGE(M33:X33)</f>
        <v>1.1999999999999997</v>
      </c>
      <c r="K32" s="901" t="s">
        <v>682</v>
      </c>
      <c r="L32" s="905">
        <f t="shared" si="7"/>
        <v>13222.5</v>
      </c>
      <c r="M32" s="928">
        <f>(M20*$G32)</f>
        <v>2475</v>
      </c>
      <c r="N32" s="907">
        <f t="shared" ref="N32:W32" si="12">(N20*$G32)</f>
        <v>1050</v>
      </c>
      <c r="O32" s="907">
        <f t="shared" si="12"/>
        <v>2685</v>
      </c>
      <c r="P32" s="907">
        <f t="shared" si="12"/>
        <v>300</v>
      </c>
      <c r="Q32" s="907">
        <f t="shared" si="12"/>
        <v>1125</v>
      </c>
      <c r="R32" s="907">
        <f t="shared" si="12"/>
        <v>1582.5</v>
      </c>
      <c r="S32" s="907">
        <f t="shared" si="12"/>
        <v>750</v>
      </c>
      <c r="T32" s="907">
        <f t="shared" si="12"/>
        <v>1177.5</v>
      </c>
      <c r="U32" s="907">
        <f t="shared" si="12"/>
        <v>45</v>
      </c>
      <c r="V32" s="907">
        <f t="shared" si="12"/>
        <v>457.5</v>
      </c>
      <c r="W32" s="907">
        <f t="shared" si="12"/>
        <v>1537.5</v>
      </c>
      <c r="X32" s="908">
        <f>(X20*$G32)</f>
        <v>37.5</v>
      </c>
    </row>
    <row r="33" spans="3:24" ht="20.100000000000001" hidden="1" customHeight="1">
      <c r="C33" s="899"/>
      <c r="D33" s="1276">
        <v>4</v>
      </c>
      <c r="E33" s="1276" t="s">
        <v>100</v>
      </c>
      <c r="F33" s="900" t="s">
        <v>684</v>
      </c>
      <c r="G33" s="1628"/>
      <c r="H33" s="983" t="s">
        <v>217</v>
      </c>
      <c r="I33" s="1631"/>
      <c r="J33" s="1633"/>
      <c r="K33" s="901" t="s">
        <v>688</v>
      </c>
      <c r="L33" s="905"/>
      <c r="M33" s="970">
        <v>1.2</v>
      </c>
      <c r="N33" s="970">
        <v>1.2</v>
      </c>
      <c r="O33" s="970">
        <v>1.2</v>
      </c>
      <c r="P33" s="970">
        <v>1.2</v>
      </c>
      <c r="Q33" s="970">
        <v>1.2</v>
      </c>
      <c r="R33" s="970">
        <v>1.2</v>
      </c>
      <c r="S33" s="970">
        <v>1.2</v>
      </c>
      <c r="T33" s="970">
        <v>1.2</v>
      </c>
      <c r="U33" s="970"/>
      <c r="V33" s="970"/>
      <c r="W33" s="970">
        <v>1.2</v>
      </c>
      <c r="X33" s="990">
        <v>1.2</v>
      </c>
    </row>
    <row r="34" spans="3:24" ht="20.100000000000001" customHeight="1">
      <c r="C34" s="899"/>
      <c r="D34" s="1276">
        <v>4</v>
      </c>
      <c r="E34" s="1276" t="s">
        <v>100</v>
      </c>
      <c r="F34" s="900" t="s">
        <v>684</v>
      </c>
      <c r="G34" s="1628"/>
      <c r="H34" s="983" t="s">
        <v>217</v>
      </c>
      <c r="I34" s="1631"/>
      <c r="J34" s="1634"/>
      <c r="K34" s="901" t="s">
        <v>569</v>
      </c>
      <c r="L34" s="902">
        <f t="shared" si="7"/>
        <v>15264</v>
      </c>
      <c r="M34" s="927">
        <f t="shared" ref="M34:X34" si="13">(M32*M33)</f>
        <v>2970</v>
      </c>
      <c r="N34" s="903">
        <f t="shared" si="13"/>
        <v>1260</v>
      </c>
      <c r="O34" s="903">
        <f t="shared" si="13"/>
        <v>3222</v>
      </c>
      <c r="P34" s="903">
        <f t="shared" si="13"/>
        <v>360</v>
      </c>
      <c r="Q34" s="903">
        <f t="shared" si="13"/>
        <v>1350</v>
      </c>
      <c r="R34" s="903">
        <f t="shared" si="13"/>
        <v>1899</v>
      </c>
      <c r="S34" s="903">
        <f t="shared" si="13"/>
        <v>900</v>
      </c>
      <c r="T34" s="903">
        <f t="shared" si="13"/>
        <v>1413</v>
      </c>
      <c r="U34" s="903">
        <f t="shared" si="13"/>
        <v>0</v>
      </c>
      <c r="V34" s="903">
        <f t="shared" si="13"/>
        <v>0</v>
      </c>
      <c r="W34" s="903">
        <f t="shared" si="13"/>
        <v>1845</v>
      </c>
      <c r="X34" s="904">
        <f t="shared" si="13"/>
        <v>45</v>
      </c>
    </row>
    <row r="35" spans="3:24" ht="20.100000000000001" hidden="1" customHeight="1">
      <c r="C35" s="899"/>
      <c r="D35" s="1276">
        <v>5</v>
      </c>
      <c r="E35" s="1276" t="s">
        <v>100</v>
      </c>
      <c r="F35" s="900" t="s">
        <v>684</v>
      </c>
      <c r="G35" s="1628">
        <v>0.06</v>
      </c>
      <c r="H35" s="983" t="s">
        <v>215</v>
      </c>
      <c r="I35" s="1635">
        <f>(I20*G35)</f>
        <v>60</v>
      </c>
      <c r="J35" s="1636">
        <f>AVERAGE(M36:X36)</f>
        <v>123.21428571428574</v>
      </c>
      <c r="K35" s="901" t="s">
        <v>682</v>
      </c>
      <c r="L35" s="933">
        <f t="shared" si="7"/>
        <v>2115.6000000000004</v>
      </c>
      <c r="M35" s="934">
        <f>(M20*$G35)</f>
        <v>396</v>
      </c>
      <c r="N35" s="935">
        <f t="shared" ref="N35:W35" si="14">(N20*$G35)</f>
        <v>168</v>
      </c>
      <c r="O35" s="935">
        <f t="shared" si="14"/>
        <v>429.59999999999997</v>
      </c>
      <c r="P35" s="935">
        <f t="shared" si="14"/>
        <v>48</v>
      </c>
      <c r="Q35" s="935">
        <f t="shared" si="14"/>
        <v>180</v>
      </c>
      <c r="R35" s="935">
        <f t="shared" si="14"/>
        <v>253.2</v>
      </c>
      <c r="S35" s="935">
        <f t="shared" si="14"/>
        <v>120</v>
      </c>
      <c r="T35" s="935">
        <f t="shared" si="14"/>
        <v>188.4</v>
      </c>
      <c r="U35" s="935">
        <f t="shared" si="14"/>
        <v>7.1999999999999993</v>
      </c>
      <c r="V35" s="935">
        <f t="shared" si="14"/>
        <v>73.2</v>
      </c>
      <c r="W35" s="935">
        <f t="shared" si="14"/>
        <v>246</v>
      </c>
      <c r="X35" s="936">
        <f>(X20*$G35)</f>
        <v>6</v>
      </c>
    </row>
    <row r="36" spans="3:24" ht="20.100000000000001" hidden="1" customHeight="1">
      <c r="C36" s="899"/>
      <c r="D36" s="1276">
        <v>5</v>
      </c>
      <c r="E36" s="1276" t="s">
        <v>100</v>
      </c>
      <c r="F36" s="900" t="s">
        <v>684</v>
      </c>
      <c r="G36" s="1628"/>
      <c r="H36" s="983" t="s">
        <v>215</v>
      </c>
      <c r="I36" s="1635"/>
      <c r="J36" s="1633"/>
      <c r="K36" s="901" t="s">
        <v>688</v>
      </c>
      <c r="L36" s="933"/>
      <c r="M36" s="970">
        <v>121.42857142857143</v>
      </c>
      <c r="N36" s="970">
        <v>121.42857142857143</v>
      </c>
      <c r="O36" s="970">
        <v>121.42857142857143</v>
      </c>
      <c r="P36" s="970">
        <v>121.42857142857143</v>
      </c>
      <c r="Q36" s="970">
        <v>124.28571428571429</v>
      </c>
      <c r="R36" s="970">
        <v>124.28571428571429</v>
      </c>
      <c r="S36" s="970">
        <v>124.28571428571429</v>
      </c>
      <c r="T36" s="970">
        <v>124.28571428571429</v>
      </c>
      <c r="U36" s="970"/>
      <c r="V36" s="970"/>
      <c r="W36" s="970">
        <v>124.28571428571429</v>
      </c>
      <c r="X36" s="990">
        <f>1750/14</f>
        <v>125</v>
      </c>
    </row>
    <row r="37" spans="3:24" ht="20.100000000000001" customHeight="1">
      <c r="C37" s="899"/>
      <c r="D37" s="1276">
        <v>5</v>
      </c>
      <c r="E37" s="1276" t="s">
        <v>100</v>
      </c>
      <c r="F37" s="900" t="s">
        <v>684</v>
      </c>
      <c r="G37" s="1628"/>
      <c r="H37" s="983" t="s">
        <v>215</v>
      </c>
      <c r="I37" s="1635"/>
      <c r="J37" s="1634"/>
      <c r="K37" s="901" t="s">
        <v>569</v>
      </c>
      <c r="L37" s="902">
        <f t="shared" si="7"/>
        <v>249974.57142857145</v>
      </c>
      <c r="M37" s="927">
        <f t="shared" ref="M37:X37" si="15">(M35*M36)</f>
        <v>48085.71428571429</v>
      </c>
      <c r="N37" s="903">
        <f t="shared" si="15"/>
        <v>20400</v>
      </c>
      <c r="O37" s="903">
        <f t="shared" si="15"/>
        <v>52165.714285714283</v>
      </c>
      <c r="P37" s="903">
        <f t="shared" si="15"/>
        <v>5828.5714285714284</v>
      </c>
      <c r="Q37" s="903">
        <f t="shared" si="15"/>
        <v>22371.428571428572</v>
      </c>
      <c r="R37" s="903">
        <f t="shared" si="15"/>
        <v>31469.142857142859</v>
      </c>
      <c r="S37" s="903">
        <f t="shared" si="15"/>
        <v>14914.285714285716</v>
      </c>
      <c r="T37" s="903">
        <f t="shared" si="15"/>
        <v>23415.428571428572</v>
      </c>
      <c r="U37" s="903">
        <f t="shared" si="15"/>
        <v>0</v>
      </c>
      <c r="V37" s="903">
        <f t="shared" si="15"/>
        <v>0</v>
      </c>
      <c r="W37" s="903">
        <f t="shared" si="15"/>
        <v>30574.285714285717</v>
      </c>
      <c r="X37" s="904">
        <f t="shared" si="15"/>
        <v>750</v>
      </c>
    </row>
    <row r="38" spans="3:24" ht="20.100000000000001" hidden="1" customHeight="1">
      <c r="C38" s="899"/>
      <c r="D38" s="1276">
        <v>6</v>
      </c>
      <c r="E38" s="1276" t="s">
        <v>100</v>
      </c>
      <c r="F38" s="900" t="s">
        <v>684</v>
      </c>
      <c r="G38" s="1628">
        <v>0.04</v>
      </c>
      <c r="H38" s="984" t="s">
        <v>216</v>
      </c>
      <c r="I38" s="1631">
        <f>(I20*G38)</f>
        <v>40</v>
      </c>
      <c r="J38" s="1636">
        <f>AVERAGE(M39:X39)</f>
        <v>37</v>
      </c>
      <c r="K38" s="901" t="s">
        <v>682</v>
      </c>
      <c r="L38" s="933">
        <f t="shared" si="7"/>
        <v>1007.4285714285714</v>
      </c>
      <c r="M38" s="934">
        <f>(M20*$G38)/1.4</f>
        <v>188.57142857142858</v>
      </c>
      <c r="N38" s="935">
        <f t="shared" ref="N38:W38" si="16">(N20*$G38)/1.4</f>
        <v>80</v>
      </c>
      <c r="O38" s="935">
        <f t="shared" si="16"/>
        <v>204.57142857142861</v>
      </c>
      <c r="P38" s="935">
        <f t="shared" si="16"/>
        <v>22.857142857142858</v>
      </c>
      <c r="Q38" s="935">
        <f t="shared" si="16"/>
        <v>85.714285714285722</v>
      </c>
      <c r="R38" s="935">
        <f t="shared" si="16"/>
        <v>120.57142857142858</v>
      </c>
      <c r="S38" s="935">
        <f t="shared" si="16"/>
        <v>57.142857142857146</v>
      </c>
      <c r="T38" s="935">
        <f t="shared" si="16"/>
        <v>89.714285714285722</v>
      </c>
      <c r="U38" s="935">
        <f t="shared" si="16"/>
        <v>3.4285714285714288</v>
      </c>
      <c r="V38" s="935">
        <f t="shared" si="16"/>
        <v>34.857142857142861</v>
      </c>
      <c r="W38" s="935">
        <f t="shared" si="16"/>
        <v>117.14285714285715</v>
      </c>
      <c r="X38" s="936">
        <f>(X20*$G38)/1.4</f>
        <v>2.8571428571428572</v>
      </c>
    </row>
    <row r="39" spans="3:24" ht="20.100000000000001" hidden="1" customHeight="1">
      <c r="C39" s="899"/>
      <c r="D39" s="1276">
        <v>6</v>
      </c>
      <c r="E39" s="1276" t="s">
        <v>100</v>
      </c>
      <c r="F39" s="900" t="s">
        <v>684</v>
      </c>
      <c r="G39" s="1628"/>
      <c r="H39" s="984" t="s">
        <v>216</v>
      </c>
      <c r="I39" s="1631"/>
      <c r="J39" s="1633"/>
      <c r="K39" s="901" t="s">
        <v>688</v>
      </c>
      <c r="L39" s="933"/>
      <c r="M39" s="970">
        <f>3700/100</f>
        <v>37</v>
      </c>
      <c r="N39" s="970">
        <f t="shared" ref="N39:X39" si="17">3700/100</f>
        <v>37</v>
      </c>
      <c r="O39" s="970">
        <f t="shared" si="17"/>
        <v>37</v>
      </c>
      <c r="P39" s="970">
        <f t="shared" si="17"/>
        <v>37</v>
      </c>
      <c r="Q39" s="970">
        <f t="shared" si="17"/>
        <v>37</v>
      </c>
      <c r="R39" s="970">
        <f t="shared" si="17"/>
        <v>37</v>
      </c>
      <c r="S39" s="970">
        <f t="shared" si="17"/>
        <v>37</v>
      </c>
      <c r="T39" s="970">
        <f t="shared" si="17"/>
        <v>37</v>
      </c>
      <c r="U39" s="970"/>
      <c r="V39" s="970"/>
      <c r="W39" s="970">
        <f t="shared" si="17"/>
        <v>37</v>
      </c>
      <c r="X39" s="990">
        <f t="shared" si="17"/>
        <v>37</v>
      </c>
    </row>
    <row r="40" spans="3:24" ht="20.100000000000001" customHeight="1">
      <c r="C40" s="899"/>
      <c r="D40" s="1276">
        <v>6</v>
      </c>
      <c r="E40" s="1276" t="s">
        <v>100</v>
      </c>
      <c r="F40" s="900" t="s">
        <v>684</v>
      </c>
      <c r="G40" s="1628"/>
      <c r="H40" s="984" t="s">
        <v>216</v>
      </c>
      <c r="I40" s="1631"/>
      <c r="J40" s="1634"/>
      <c r="K40" s="901" t="s">
        <v>569</v>
      </c>
      <c r="L40" s="902">
        <f t="shared" si="7"/>
        <v>35858.285714285717</v>
      </c>
      <c r="M40" s="927">
        <f t="shared" ref="M40:X40" si="18">(M38*M39)</f>
        <v>6977.1428571428578</v>
      </c>
      <c r="N40" s="903">
        <f t="shared" si="18"/>
        <v>2960</v>
      </c>
      <c r="O40" s="903">
        <f t="shared" si="18"/>
        <v>7569.1428571428587</v>
      </c>
      <c r="P40" s="903">
        <f t="shared" si="18"/>
        <v>845.71428571428578</v>
      </c>
      <c r="Q40" s="903">
        <f t="shared" si="18"/>
        <v>3171.4285714285716</v>
      </c>
      <c r="R40" s="903">
        <f t="shared" si="18"/>
        <v>4461.1428571428578</v>
      </c>
      <c r="S40" s="903">
        <f t="shared" si="18"/>
        <v>2114.2857142857142</v>
      </c>
      <c r="T40" s="903">
        <f t="shared" si="18"/>
        <v>3319.4285714285716</v>
      </c>
      <c r="U40" s="903">
        <f t="shared" si="18"/>
        <v>0</v>
      </c>
      <c r="V40" s="903">
        <f t="shared" si="18"/>
        <v>0</v>
      </c>
      <c r="W40" s="903">
        <f t="shared" si="18"/>
        <v>4334.2857142857147</v>
      </c>
      <c r="X40" s="904">
        <f t="shared" si="18"/>
        <v>105.71428571428572</v>
      </c>
    </row>
    <row r="41" spans="3:24" ht="20.100000000000001" hidden="1" customHeight="1" thickBot="1">
      <c r="C41" s="885"/>
      <c r="D41" s="1278">
        <v>7</v>
      </c>
      <c r="E41" s="1278" t="s">
        <v>100</v>
      </c>
      <c r="F41" s="887" t="s">
        <v>684</v>
      </c>
      <c r="G41" s="1236">
        <f>(I41/I20)</f>
        <v>2.5000000000000001E-3</v>
      </c>
      <c r="H41" s="986" t="s">
        <v>204</v>
      </c>
      <c r="I41" s="1237">
        <f>I20-((I23+I32+(I26/2)+(I29/2)+(I35/2)+(I38/8)))</f>
        <v>2.5</v>
      </c>
      <c r="J41" s="915"/>
      <c r="K41" s="937" t="s">
        <v>682</v>
      </c>
      <c r="L41" s="1238">
        <f t="shared" si="7"/>
        <v>88.149999999999991</v>
      </c>
      <c r="M41" s="1239">
        <f>(M20*$G41)</f>
        <v>16.5</v>
      </c>
      <c r="N41" s="1240">
        <f t="shared" ref="N41:W41" si="19">(N20*$G41)</f>
        <v>7</v>
      </c>
      <c r="O41" s="1240">
        <f t="shared" si="19"/>
        <v>17.900000000000002</v>
      </c>
      <c r="P41" s="1240">
        <f t="shared" si="19"/>
        <v>2</v>
      </c>
      <c r="Q41" s="1240">
        <f t="shared" si="19"/>
        <v>7.5</v>
      </c>
      <c r="R41" s="1240">
        <f t="shared" si="19"/>
        <v>10.55</v>
      </c>
      <c r="S41" s="1240">
        <f t="shared" si="19"/>
        <v>5</v>
      </c>
      <c r="T41" s="1240">
        <f t="shared" si="19"/>
        <v>7.8500000000000005</v>
      </c>
      <c r="U41" s="1240">
        <f t="shared" si="19"/>
        <v>0.3</v>
      </c>
      <c r="V41" s="1240">
        <f t="shared" si="19"/>
        <v>3.0500000000000003</v>
      </c>
      <c r="W41" s="1240">
        <f t="shared" si="19"/>
        <v>10.25</v>
      </c>
      <c r="X41" s="1241">
        <f>(X20*$G41)</f>
        <v>0.25</v>
      </c>
    </row>
    <row r="42" spans="3:24" ht="20.100000000000001" hidden="1" customHeight="1" collapsed="1">
      <c r="C42" s="890">
        <v>2</v>
      </c>
      <c r="D42" s="891">
        <v>0</v>
      </c>
      <c r="E42" s="891" t="s">
        <v>242</v>
      </c>
      <c r="F42" s="892" t="s">
        <v>115</v>
      </c>
      <c r="G42" s="1637"/>
      <c r="H42" s="1637"/>
      <c r="I42" s="1638">
        <v>1000</v>
      </c>
      <c r="J42" s="1641">
        <f>AVERAGE(M43:X43)</f>
        <v>1.28</v>
      </c>
      <c r="K42" s="894" t="s">
        <v>682</v>
      </c>
      <c r="L42" s="1227">
        <f>SUM(M42:X42)</f>
        <v>650200</v>
      </c>
      <c r="M42" s="1228">
        <v>192000</v>
      </c>
      <c r="N42" s="1229"/>
      <c r="O42" s="1229"/>
      <c r="P42" s="1229"/>
      <c r="Q42" s="1229">
        <v>119200</v>
      </c>
      <c r="R42" s="1229"/>
      <c r="S42" s="1229">
        <v>339000</v>
      </c>
      <c r="T42" s="1229"/>
      <c r="U42" s="1229"/>
      <c r="V42" s="1229"/>
      <c r="W42" s="1229"/>
      <c r="X42" s="1230"/>
    </row>
    <row r="43" spans="3:24" ht="20.100000000000001" hidden="1" customHeight="1">
      <c r="C43" s="948"/>
      <c r="D43" s="1275">
        <v>0</v>
      </c>
      <c r="E43" s="1275" t="s">
        <v>242</v>
      </c>
      <c r="F43" s="950" t="s">
        <v>115</v>
      </c>
      <c r="G43" s="1617"/>
      <c r="H43" s="1617"/>
      <c r="I43" s="1639"/>
      <c r="J43" s="1621"/>
      <c r="K43" s="881" t="s">
        <v>688</v>
      </c>
      <c r="L43" s="952"/>
      <c r="M43" s="970">
        <f>(M44/M42)</f>
        <v>1.28</v>
      </c>
      <c r="N43" s="970"/>
      <c r="O43" s="970"/>
      <c r="P43" s="970"/>
      <c r="Q43" s="970">
        <f t="shared" ref="Q43:S43" si="20">(Q44/Q42)</f>
        <v>1.28</v>
      </c>
      <c r="R43" s="970"/>
      <c r="S43" s="970">
        <f t="shared" si="20"/>
        <v>1.28</v>
      </c>
      <c r="T43" s="970"/>
      <c r="U43" s="970"/>
      <c r="V43" s="970"/>
      <c r="W43" s="970"/>
      <c r="X43" s="976"/>
    </row>
    <row r="44" spans="3:24" ht="20.100000000000001" hidden="1" customHeight="1" thickBot="1">
      <c r="C44" s="885"/>
      <c r="D44" s="1278">
        <v>0</v>
      </c>
      <c r="E44" s="1278" t="s">
        <v>242</v>
      </c>
      <c r="F44" s="887" t="s">
        <v>115</v>
      </c>
      <c r="G44" s="1618"/>
      <c r="H44" s="1618"/>
      <c r="I44" s="1640"/>
      <c r="J44" s="1622"/>
      <c r="K44" s="888" t="s">
        <v>569</v>
      </c>
      <c r="L44" s="889">
        <f>SUM(M44:X44)</f>
        <v>832256</v>
      </c>
      <c r="M44" s="919">
        <f>SUM(M47+M50)</f>
        <v>245760</v>
      </c>
      <c r="N44" s="974">
        <f t="shared" ref="N44:X44" si="21">SUM(N47+N50)</f>
        <v>0</v>
      </c>
      <c r="O44" s="974">
        <f t="shared" si="21"/>
        <v>0</v>
      </c>
      <c r="P44" s="974">
        <f t="shared" si="21"/>
        <v>0</v>
      </c>
      <c r="Q44" s="974">
        <f t="shared" si="21"/>
        <v>152576</v>
      </c>
      <c r="R44" s="974">
        <f t="shared" si="21"/>
        <v>0</v>
      </c>
      <c r="S44" s="974">
        <f t="shared" si="21"/>
        <v>433920</v>
      </c>
      <c r="T44" s="974">
        <f t="shared" si="21"/>
        <v>0</v>
      </c>
      <c r="U44" s="974">
        <f t="shared" si="21"/>
        <v>0</v>
      </c>
      <c r="V44" s="974">
        <f t="shared" si="21"/>
        <v>0</v>
      </c>
      <c r="W44" s="974">
        <f t="shared" si="21"/>
        <v>0</v>
      </c>
      <c r="X44" s="975">
        <f t="shared" si="21"/>
        <v>0</v>
      </c>
    </row>
    <row r="45" spans="3:24" ht="20.100000000000001" hidden="1" customHeight="1">
      <c r="C45" s="890"/>
      <c r="D45" s="891">
        <v>1</v>
      </c>
      <c r="E45" s="891" t="s">
        <v>100</v>
      </c>
      <c r="F45" s="892" t="s">
        <v>115</v>
      </c>
      <c r="G45" s="1626">
        <v>1.6</v>
      </c>
      <c r="H45" s="981" t="s">
        <v>148</v>
      </c>
      <c r="I45" s="1642">
        <f>(I42*G45)</f>
        <v>1600</v>
      </c>
      <c r="J45" s="1632">
        <f>AVERAGE(M46:X46)</f>
        <v>0.5</v>
      </c>
      <c r="K45" s="894" t="s">
        <v>682</v>
      </c>
      <c r="L45" s="1204">
        <f>SUM(M45:X45)</f>
        <v>1040320</v>
      </c>
      <c r="M45" s="1205">
        <f>(M42*$G45)</f>
        <v>307200</v>
      </c>
      <c r="N45" s="1206">
        <f t="shared" ref="N45:W45" si="22">(N42*$G45)</f>
        <v>0</v>
      </c>
      <c r="O45" s="1206">
        <f t="shared" si="22"/>
        <v>0</v>
      </c>
      <c r="P45" s="1206">
        <f t="shared" si="22"/>
        <v>0</v>
      </c>
      <c r="Q45" s="1206">
        <f>(Q42*$G45)</f>
        <v>190720</v>
      </c>
      <c r="R45" s="1206">
        <f t="shared" si="22"/>
        <v>0</v>
      </c>
      <c r="S45" s="1206">
        <f>(S42*$G45)</f>
        <v>542400</v>
      </c>
      <c r="T45" s="1206">
        <f t="shared" si="22"/>
        <v>0</v>
      </c>
      <c r="U45" s="1206">
        <f t="shared" si="22"/>
        <v>0</v>
      </c>
      <c r="V45" s="1206">
        <f t="shared" si="22"/>
        <v>0</v>
      </c>
      <c r="W45" s="1206">
        <f t="shared" si="22"/>
        <v>0</v>
      </c>
      <c r="X45" s="1207">
        <f>(X42*$G45)</f>
        <v>0</v>
      </c>
    </row>
    <row r="46" spans="3:24" ht="20.100000000000001" hidden="1" customHeight="1">
      <c r="C46" s="878"/>
      <c r="D46" s="879">
        <v>1</v>
      </c>
      <c r="E46" s="879" t="s">
        <v>100</v>
      </c>
      <c r="F46" s="880" t="s">
        <v>115</v>
      </c>
      <c r="G46" s="1627"/>
      <c r="H46" s="982" t="s">
        <v>148</v>
      </c>
      <c r="I46" s="1643"/>
      <c r="J46" s="1633"/>
      <c r="K46" s="881" t="s">
        <v>688</v>
      </c>
      <c r="L46" s="946"/>
      <c r="M46" s="970">
        <v>0.5</v>
      </c>
      <c r="N46" s="970"/>
      <c r="O46" s="970"/>
      <c r="P46" s="970"/>
      <c r="Q46" s="970">
        <v>0.5</v>
      </c>
      <c r="R46" s="970"/>
      <c r="S46" s="970">
        <v>0.5</v>
      </c>
      <c r="T46" s="970"/>
      <c r="U46" s="970"/>
      <c r="V46" s="970"/>
      <c r="W46" s="970"/>
      <c r="X46" s="990"/>
    </row>
    <row r="47" spans="3:24" ht="20.100000000000001" customHeight="1">
      <c r="C47" s="899"/>
      <c r="D47" s="1276">
        <v>1</v>
      </c>
      <c r="E47" s="1276" t="s">
        <v>100</v>
      </c>
      <c r="F47" s="900" t="s">
        <v>115</v>
      </c>
      <c r="G47" s="1628"/>
      <c r="H47" s="983" t="s">
        <v>148</v>
      </c>
      <c r="I47" s="1635"/>
      <c r="J47" s="1634"/>
      <c r="K47" s="901" t="s">
        <v>569</v>
      </c>
      <c r="L47" s="902">
        <f>SUM(M47:X47)</f>
        <v>520160</v>
      </c>
      <c r="M47" s="927">
        <f>(M45*M46)</f>
        <v>153600</v>
      </c>
      <c r="N47" s="903">
        <f t="shared" ref="N47:X47" si="23">(N45*N46)</f>
        <v>0</v>
      </c>
      <c r="O47" s="903">
        <f t="shared" si="23"/>
        <v>0</v>
      </c>
      <c r="P47" s="903">
        <f t="shared" si="23"/>
        <v>0</v>
      </c>
      <c r="Q47" s="903">
        <f>(Q45*Q46)</f>
        <v>95360</v>
      </c>
      <c r="R47" s="903">
        <f t="shared" si="23"/>
        <v>0</v>
      </c>
      <c r="S47" s="903">
        <f t="shared" si="23"/>
        <v>271200</v>
      </c>
      <c r="T47" s="903">
        <f t="shared" si="23"/>
        <v>0</v>
      </c>
      <c r="U47" s="903">
        <f t="shared" si="23"/>
        <v>0</v>
      </c>
      <c r="V47" s="903">
        <f t="shared" si="23"/>
        <v>0</v>
      </c>
      <c r="W47" s="903">
        <f t="shared" si="23"/>
        <v>0</v>
      </c>
      <c r="X47" s="904">
        <f t="shared" si="23"/>
        <v>0</v>
      </c>
    </row>
    <row r="48" spans="3:24" ht="19.5" hidden="1" customHeight="1">
      <c r="C48" s="899"/>
      <c r="D48" s="1276">
        <v>2</v>
      </c>
      <c r="E48" s="1276" t="s">
        <v>100</v>
      </c>
      <c r="F48" s="900" t="s">
        <v>115</v>
      </c>
      <c r="G48" s="1628">
        <v>0.4</v>
      </c>
      <c r="H48" s="983" t="s">
        <v>186</v>
      </c>
      <c r="I48" s="1635">
        <f>(I42*G48)</f>
        <v>400</v>
      </c>
      <c r="J48" s="1636">
        <f>AVERAGE(M49:X49)</f>
        <v>1.2</v>
      </c>
      <c r="K48" s="901" t="s">
        <v>682</v>
      </c>
      <c r="L48" s="933">
        <f t="shared" ref="L48" si="24">SUM(M48:X48)</f>
        <v>260080</v>
      </c>
      <c r="M48" s="934">
        <f>(M42*$G48)</f>
        <v>76800</v>
      </c>
      <c r="N48" s="935">
        <f t="shared" ref="N48:X48" si="25">(N42*$G48)</f>
        <v>0</v>
      </c>
      <c r="O48" s="935">
        <f t="shared" si="25"/>
        <v>0</v>
      </c>
      <c r="P48" s="935">
        <f t="shared" si="25"/>
        <v>0</v>
      </c>
      <c r="Q48" s="935">
        <f>(Q42*$G48)</f>
        <v>47680</v>
      </c>
      <c r="R48" s="935">
        <f t="shared" si="25"/>
        <v>0</v>
      </c>
      <c r="S48" s="935">
        <f>(S42*$G48)</f>
        <v>135600</v>
      </c>
      <c r="T48" s="935">
        <f t="shared" si="25"/>
        <v>0</v>
      </c>
      <c r="U48" s="935">
        <f t="shared" si="25"/>
        <v>0</v>
      </c>
      <c r="V48" s="935">
        <f t="shared" si="25"/>
        <v>0</v>
      </c>
      <c r="W48" s="935">
        <f t="shared" si="25"/>
        <v>0</v>
      </c>
      <c r="X48" s="936">
        <f t="shared" si="25"/>
        <v>0</v>
      </c>
    </row>
    <row r="49" spans="3:24" ht="19.5" hidden="1" customHeight="1">
      <c r="C49" s="899"/>
      <c r="D49" s="1276">
        <v>2</v>
      </c>
      <c r="E49" s="1276" t="s">
        <v>100</v>
      </c>
      <c r="F49" s="900" t="s">
        <v>115</v>
      </c>
      <c r="G49" s="1628"/>
      <c r="H49" s="983" t="s">
        <v>186</v>
      </c>
      <c r="I49" s="1635"/>
      <c r="J49" s="1633"/>
      <c r="K49" s="901" t="s">
        <v>688</v>
      </c>
      <c r="L49" s="933"/>
      <c r="M49" s="970">
        <v>1.2</v>
      </c>
      <c r="N49" s="970"/>
      <c r="O49" s="970"/>
      <c r="P49" s="970"/>
      <c r="Q49" s="970">
        <v>1.2</v>
      </c>
      <c r="R49" s="970"/>
      <c r="S49" s="970">
        <v>1.2</v>
      </c>
      <c r="T49" s="970"/>
      <c r="U49" s="970"/>
      <c r="V49" s="970"/>
      <c r="W49" s="970"/>
      <c r="X49" s="990"/>
    </row>
    <row r="50" spans="3:24" ht="19.5" customHeight="1">
      <c r="C50" s="1213"/>
      <c r="D50" s="1214">
        <v>2</v>
      </c>
      <c r="E50" s="1214" t="s">
        <v>100</v>
      </c>
      <c r="F50" s="1215" t="s">
        <v>115</v>
      </c>
      <c r="G50" s="1644"/>
      <c r="H50" s="1217" t="s">
        <v>186</v>
      </c>
      <c r="I50" s="1645"/>
      <c r="J50" s="1633"/>
      <c r="K50" s="1231" t="s">
        <v>569</v>
      </c>
      <c r="L50" s="1232">
        <f t="shared" ref="L50" si="26">SUM(M50:X50)</f>
        <v>312096</v>
      </c>
      <c r="M50" s="1233">
        <f t="shared" ref="M50:X50" si="27">(M48*M49)</f>
        <v>92160</v>
      </c>
      <c r="N50" s="1234">
        <f t="shared" si="27"/>
        <v>0</v>
      </c>
      <c r="O50" s="1234">
        <f t="shared" si="27"/>
        <v>0</v>
      </c>
      <c r="P50" s="1234">
        <f t="shared" si="27"/>
        <v>0</v>
      </c>
      <c r="Q50" s="1234">
        <f t="shared" si="27"/>
        <v>57216</v>
      </c>
      <c r="R50" s="1234">
        <f t="shared" si="27"/>
        <v>0</v>
      </c>
      <c r="S50" s="1234">
        <f t="shared" si="27"/>
        <v>162720</v>
      </c>
      <c r="T50" s="1234">
        <f t="shared" si="27"/>
        <v>0</v>
      </c>
      <c r="U50" s="1234">
        <f t="shared" si="27"/>
        <v>0</v>
      </c>
      <c r="V50" s="1234">
        <f t="shared" si="27"/>
        <v>0</v>
      </c>
      <c r="W50" s="1234">
        <f t="shared" si="27"/>
        <v>0</v>
      </c>
      <c r="X50" s="1235">
        <f t="shared" si="27"/>
        <v>0</v>
      </c>
    </row>
    <row r="51" spans="3:24" ht="20.100000000000001" hidden="1" customHeight="1" collapsed="1">
      <c r="C51" s="890">
        <v>3</v>
      </c>
      <c r="D51" s="891">
        <v>0</v>
      </c>
      <c r="E51" s="891" t="s">
        <v>242</v>
      </c>
      <c r="F51" s="892" t="s">
        <v>116</v>
      </c>
      <c r="G51" s="1637"/>
      <c r="H51" s="1637"/>
      <c r="I51" s="1638">
        <v>1000</v>
      </c>
      <c r="J51" s="1641">
        <f>AVERAGE(M52:X52)</f>
        <v>2</v>
      </c>
      <c r="K51" s="894" t="s">
        <v>682</v>
      </c>
      <c r="L51" s="1227">
        <f>SUM(M51:X51)</f>
        <v>126230</v>
      </c>
      <c r="M51" s="1228">
        <v>54000</v>
      </c>
      <c r="N51" s="1229"/>
      <c r="O51" s="1229">
        <v>12000</v>
      </c>
      <c r="P51" s="1229"/>
      <c r="Q51" s="1229"/>
      <c r="R51" s="1229"/>
      <c r="S51" s="1229">
        <v>60230</v>
      </c>
      <c r="T51" s="1229"/>
      <c r="U51" s="1229"/>
      <c r="V51" s="1229"/>
      <c r="W51" s="1229"/>
      <c r="X51" s="1230"/>
    </row>
    <row r="52" spans="3:24" ht="20.100000000000001" hidden="1" customHeight="1">
      <c r="C52" s="948"/>
      <c r="D52" s="1275">
        <v>0</v>
      </c>
      <c r="E52" s="1275" t="s">
        <v>242</v>
      </c>
      <c r="F52" s="950" t="s">
        <v>116</v>
      </c>
      <c r="G52" s="1617"/>
      <c r="H52" s="1617"/>
      <c r="I52" s="1639"/>
      <c r="J52" s="1621"/>
      <c r="K52" s="881" t="s">
        <v>688</v>
      </c>
      <c r="L52" s="952"/>
      <c r="M52" s="970">
        <f>(M53/M51)</f>
        <v>2</v>
      </c>
      <c r="N52" s="970"/>
      <c r="O52" s="970">
        <f>(O53/O51)</f>
        <v>2</v>
      </c>
      <c r="P52" s="970"/>
      <c r="Q52" s="970"/>
      <c r="R52" s="970"/>
      <c r="S52" s="970">
        <f t="shared" ref="S52" si="28">(S53/S51)</f>
        <v>2</v>
      </c>
      <c r="T52" s="970"/>
      <c r="U52" s="970"/>
      <c r="V52" s="970"/>
      <c r="W52" s="970"/>
      <c r="X52" s="976"/>
    </row>
    <row r="53" spans="3:24" ht="20.100000000000001" hidden="1" customHeight="1" thickBot="1">
      <c r="C53" s="885"/>
      <c r="D53" s="1278">
        <v>0</v>
      </c>
      <c r="E53" s="1278" t="s">
        <v>242</v>
      </c>
      <c r="F53" s="887" t="s">
        <v>116</v>
      </c>
      <c r="G53" s="1618"/>
      <c r="H53" s="1618"/>
      <c r="I53" s="1640"/>
      <c r="J53" s="1622"/>
      <c r="K53" s="888" t="s">
        <v>569</v>
      </c>
      <c r="L53" s="889">
        <f>SUM(M53:X53)</f>
        <v>252460</v>
      </c>
      <c r="M53" s="919">
        <f>SUM(M56)</f>
        <v>108000</v>
      </c>
      <c r="N53" s="974">
        <f t="shared" ref="N53:X53" si="29">SUM(N56)</f>
        <v>0</v>
      </c>
      <c r="O53" s="974">
        <f>SUM(O56)</f>
        <v>24000</v>
      </c>
      <c r="P53" s="974">
        <f t="shared" si="29"/>
        <v>0</v>
      </c>
      <c r="Q53" s="974">
        <f t="shared" si="29"/>
        <v>0</v>
      </c>
      <c r="R53" s="974">
        <f t="shared" si="29"/>
        <v>0</v>
      </c>
      <c r="S53" s="974">
        <f t="shared" si="29"/>
        <v>120460</v>
      </c>
      <c r="T53" s="974">
        <f t="shared" si="29"/>
        <v>0</v>
      </c>
      <c r="U53" s="974">
        <f t="shared" si="29"/>
        <v>0</v>
      </c>
      <c r="V53" s="974">
        <f t="shared" si="29"/>
        <v>0</v>
      </c>
      <c r="W53" s="974">
        <f t="shared" si="29"/>
        <v>0</v>
      </c>
      <c r="X53" s="975">
        <f t="shared" si="29"/>
        <v>0</v>
      </c>
    </row>
    <row r="54" spans="3:24" ht="20.100000000000001" hidden="1" customHeight="1">
      <c r="C54" s="890"/>
      <c r="D54" s="891">
        <v>1</v>
      </c>
      <c r="E54" s="891" t="s">
        <v>100</v>
      </c>
      <c r="F54" s="892" t="s">
        <v>116</v>
      </c>
      <c r="G54" s="1626">
        <v>4</v>
      </c>
      <c r="H54" s="981" t="s">
        <v>148</v>
      </c>
      <c r="I54" s="1642">
        <f>(I51*G54)</f>
        <v>4000</v>
      </c>
      <c r="J54" s="1632">
        <f>AVERAGE(M55:X55)</f>
        <v>0.5</v>
      </c>
      <c r="K54" s="894" t="s">
        <v>682</v>
      </c>
      <c r="L54" s="1204">
        <f>SUM(M54:X54)</f>
        <v>504920</v>
      </c>
      <c r="M54" s="1205">
        <f>(M51*$G54)</f>
        <v>216000</v>
      </c>
      <c r="N54" s="1206">
        <f t="shared" ref="N54:P54" si="30">(N51*$G54)</f>
        <v>0</v>
      </c>
      <c r="O54" s="1206">
        <f>(O51*$G54)</f>
        <v>48000</v>
      </c>
      <c r="P54" s="1206">
        <f t="shared" si="30"/>
        <v>0</v>
      </c>
      <c r="Q54" s="1206">
        <f>(Q51*$G54)</f>
        <v>0</v>
      </c>
      <c r="R54" s="1206">
        <f t="shared" ref="R54" si="31">(R51*$G54)</f>
        <v>0</v>
      </c>
      <c r="S54" s="1206">
        <f>(S51*$G54)</f>
        <v>240920</v>
      </c>
      <c r="T54" s="1206">
        <f t="shared" ref="T54:W54" si="32">(T51*$G54)</f>
        <v>0</v>
      </c>
      <c r="U54" s="1206">
        <f t="shared" si="32"/>
        <v>0</v>
      </c>
      <c r="V54" s="1206">
        <f t="shared" si="32"/>
        <v>0</v>
      </c>
      <c r="W54" s="1206">
        <f t="shared" si="32"/>
        <v>0</v>
      </c>
      <c r="X54" s="1207">
        <f>(X51*$G54)</f>
        <v>0</v>
      </c>
    </row>
    <row r="55" spans="3:24" ht="20.100000000000001" hidden="1" customHeight="1">
      <c r="C55" s="878"/>
      <c r="D55" s="879">
        <v>1</v>
      </c>
      <c r="E55" s="879" t="s">
        <v>100</v>
      </c>
      <c r="F55" s="880" t="s">
        <v>116</v>
      </c>
      <c r="G55" s="1627"/>
      <c r="H55" s="982" t="s">
        <v>148</v>
      </c>
      <c r="I55" s="1643"/>
      <c r="J55" s="1633"/>
      <c r="K55" s="881" t="s">
        <v>688</v>
      </c>
      <c r="L55" s="946"/>
      <c r="M55" s="970">
        <v>0.5</v>
      </c>
      <c r="N55" s="970"/>
      <c r="O55" s="970">
        <v>0.5</v>
      </c>
      <c r="P55" s="970"/>
      <c r="Q55" s="970"/>
      <c r="R55" s="970"/>
      <c r="S55" s="970">
        <v>0.5</v>
      </c>
      <c r="T55" s="970"/>
      <c r="U55" s="970"/>
      <c r="V55" s="970"/>
      <c r="W55" s="970"/>
      <c r="X55" s="990"/>
    </row>
    <row r="56" spans="3:24" ht="20.100000000000001" customHeight="1">
      <c r="C56" s="1213"/>
      <c r="D56" s="1214">
        <v>1</v>
      </c>
      <c r="E56" s="1214" t="s">
        <v>100</v>
      </c>
      <c r="F56" s="1215" t="s">
        <v>116</v>
      </c>
      <c r="G56" s="1644"/>
      <c r="H56" s="1217" t="s">
        <v>148</v>
      </c>
      <c r="I56" s="1645"/>
      <c r="J56" s="1633"/>
      <c r="K56" s="1231" t="s">
        <v>569</v>
      </c>
      <c r="L56" s="1232">
        <f>SUM(M56:X56)</f>
        <v>252460</v>
      </c>
      <c r="M56" s="1233">
        <f>(M54*M55)</f>
        <v>108000</v>
      </c>
      <c r="N56" s="1234">
        <f t="shared" ref="N56:P56" si="33">(N54*N55)</f>
        <v>0</v>
      </c>
      <c r="O56" s="1234">
        <f>(O54*O55)</f>
        <v>24000</v>
      </c>
      <c r="P56" s="1234">
        <f t="shared" si="33"/>
        <v>0</v>
      </c>
      <c r="Q56" s="1234">
        <f>(Q54*Q55)</f>
        <v>0</v>
      </c>
      <c r="R56" s="1234">
        <f t="shared" ref="R56:X56" si="34">(R54*R55)</f>
        <v>0</v>
      </c>
      <c r="S56" s="1234">
        <f t="shared" si="34"/>
        <v>120460</v>
      </c>
      <c r="T56" s="1234">
        <f t="shared" si="34"/>
        <v>0</v>
      </c>
      <c r="U56" s="1234">
        <f t="shared" si="34"/>
        <v>0</v>
      </c>
      <c r="V56" s="1234">
        <f t="shared" si="34"/>
        <v>0</v>
      </c>
      <c r="W56" s="1234">
        <f t="shared" si="34"/>
        <v>0</v>
      </c>
      <c r="X56" s="1235">
        <f t="shared" si="34"/>
        <v>0</v>
      </c>
    </row>
    <row r="57" spans="3:24" ht="20.100000000000001" hidden="1" customHeight="1" collapsed="1">
      <c r="C57" s="890">
        <v>4</v>
      </c>
      <c r="D57" s="891">
        <v>0</v>
      </c>
      <c r="E57" s="891" t="s">
        <v>242</v>
      </c>
      <c r="F57" s="892" t="s">
        <v>117</v>
      </c>
      <c r="G57" s="1637"/>
      <c r="H57" s="1637"/>
      <c r="I57" s="1646">
        <v>1000</v>
      </c>
      <c r="J57" s="1647">
        <f>AVERAGE(M58:X58)</f>
        <v>0.25</v>
      </c>
      <c r="K57" s="894" t="s">
        <v>682</v>
      </c>
      <c r="L57" s="1225">
        <f>SUM(M57:X57)</f>
        <v>282000</v>
      </c>
      <c r="M57" s="973">
        <v>20000</v>
      </c>
      <c r="N57" s="932"/>
      <c r="O57" s="932">
        <v>14000</v>
      </c>
      <c r="P57" s="932">
        <v>28000</v>
      </c>
      <c r="Q57" s="932">
        <v>34000</v>
      </c>
      <c r="R57" s="932">
        <v>35000</v>
      </c>
      <c r="S57" s="932">
        <v>46000</v>
      </c>
      <c r="T57" s="932">
        <v>45000</v>
      </c>
      <c r="U57" s="932">
        <v>30000</v>
      </c>
      <c r="V57" s="932">
        <v>10000</v>
      </c>
      <c r="W57" s="932">
        <v>10000</v>
      </c>
      <c r="X57" s="1095">
        <v>10000</v>
      </c>
    </row>
    <row r="58" spans="3:24" ht="20.100000000000001" hidden="1" customHeight="1">
      <c r="C58" s="948"/>
      <c r="D58" s="1275">
        <v>0</v>
      </c>
      <c r="E58" s="1275" t="s">
        <v>242</v>
      </c>
      <c r="F58" s="950" t="s">
        <v>117</v>
      </c>
      <c r="G58" s="1617"/>
      <c r="H58" s="1617"/>
      <c r="I58" s="1619"/>
      <c r="J58" s="1648"/>
      <c r="K58" s="881" t="s">
        <v>688</v>
      </c>
      <c r="L58" s="952"/>
      <c r="M58" s="970">
        <f>(M59/M57)</f>
        <v>0.25</v>
      </c>
      <c r="N58" s="970"/>
      <c r="O58" s="970">
        <f t="shared" ref="O58:W58" si="35">(O59/O57)</f>
        <v>0.25</v>
      </c>
      <c r="P58" s="970">
        <f t="shared" si="35"/>
        <v>0.25</v>
      </c>
      <c r="Q58" s="970">
        <f t="shared" si="35"/>
        <v>0.25</v>
      </c>
      <c r="R58" s="970">
        <f t="shared" si="35"/>
        <v>0.25</v>
      </c>
      <c r="S58" s="970">
        <f t="shared" si="35"/>
        <v>0.25</v>
      </c>
      <c r="T58" s="970">
        <f t="shared" si="35"/>
        <v>0.25</v>
      </c>
      <c r="U58" s="970">
        <f t="shared" si="35"/>
        <v>0.25</v>
      </c>
      <c r="V58" s="970">
        <f t="shared" si="35"/>
        <v>0.25</v>
      </c>
      <c r="W58" s="970">
        <f t="shared" si="35"/>
        <v>0.25</v>
      </c>
      <c r="X58" s="976">
        <f>(X59/X57)</f>
        <v>0.25</v>
      </c>
    </row>
    <row r="59" spans="3:24" ht="20.100000000000001" hidden="1" customHeight="1" thickBot="1">
      <c r="C59" s="885"/>
      <c r="D59" s="1278">
        <v>0</v>
      </c>
      <c r="E59" s="1278" t="s">
        <v>242</v>
      </c>
      <c r="F59" s="887" t="s">
        <v>117</v>
      </c>
      <c r="G59" s="1618"/>
      <c r="H59" s="1618"/>
      <c r="I59" s="1620"/>
      <c r="J59" s="1649"/>
      <c r="K59" s="888" t="s">
        <v>569</v>
      </c>
      <c r="L59" s="889">
        <f>SUM(M59:X59)</f>
        <v>70500</v>
      </c>
      <c r="M59" s="919">
        <f>SUM(M62)</f>
        <v>5000</v>
      </c>
      <c r="N59" s="974">
        <f t="shared" ref="N59:X59" si="36">SUM(N62)</f>
        <v>0</v>
      </c>
      <c r="O59" s="974">
        <f t="shared" si="36"/>
        <v>3500</v>
      </c>
      <c r="P59" s="974">
        <f t="shared" si="36"/>
        <v>7000</v>
      </c>
      <c r="Q59" s="974">
        <f t="shared" si="36"/>
        <v>8500</v>
      </c>
      <c r="R59" s="974">
        <f t="shared" si="36"/>
        <v>8750</v>
      </c>
      <c r="S59" s="974">
        <f t="shared" si="36"/>
        <v>11500</v>
      </c>
      <c r="T59" s="974">
        <f t="shared" si="36"/>
        <v>11250</v>
      </c>
      <c r="U59" s="974">
        <f t="shared" si="36"/>
        <v>7500</v>
      </c>
      <c r="V59" s="974">
        <f t="shared" si="36"/>
        <v>2500</v>
      </c>
      <c r="W59" s="974">
        <f t="shared" si="36"/>
        <v>2500</v>
      </c>
      <c r="X59" s="975">
        <f t="shared" si="36"/>
        <v>2500</v>
      </c>
    </row>
    <row r="60" spans="3:24" ht="20.100000000000001" hidden="1" customHeight="1">
      <c r="C60" s="890"/>
      <c r="D60" s="891">
        <v>1</v>
      </c>
      <c r="E60" s="891" t="s">
        <v>100</v>
      </c>
      <c r="F60" s="892" t="s">
        <v>117</v>
      </c>
      <c r="G60" s="1626">
        <v>1</v>
      </c>
      <c r="H60" s="981" t="s">
        <v>204</v>
      </c>
      <c r="I60" s="1629">
        <f>(I57*G60)</f>
        <v>1000</v>
      </c>
      <c r="J60" s="1632">
        <f>AVERAGE(M61:X61)</f>
        <v>0.25</v>
      </c>
      <c r="K60" s="894" t="s">
        <v>682</v>
      </c>
      <c r="L60" s="895">
        <f>SUM(M60:X60)</f>
        <v>282000</v>
      </c>
      <c r="M60" s="923">
        <f>(M57*$G60)</f>
        <v>20000</v>
      </c>
      <c r="N60" s="897">
        <f t="shared" ref="N60:W60" si="37">(N57*$G60)</f>
        <v>0</v>
      </c>
      <c r="O60" s="897">
        <f t="shared" si="37"/>
        <v>14000</v>
      </c>
      <c r="P60" s="897">
        <f t="shared" si="37"/>
        <v>28000</v>
      </c>
      <c r="Q60" s="897">
        <f t="shared" si="37"/>
        <v>34000</v>
      </c>
      <c r="R60" s="897">
        <f t="shared" si="37"/>
        <v>35000</v>
      </c>
      <c r="S60" s="897">
        <f t="shared" si="37"/>
        <v>46000</v>
      </c>
      <c r="T60" s="897">
        <f t="shared" si="37"/>
        <v>45000</v>
      </c>
      <c r="U60" s="897">
        <f t="shared" si="37"/>
        <v>30000</v>
      </c>
      <c r="V60" s="897">
        <f t="shared" si="37"/>
        <v>10000</v>
      </c>
      <c r="W60" s="897">
        <f t="shared" si="37"/>
        <v>10000</v>
      </c>
      <c r="X60" s="898">
        <f>(X57*$G60)</f>
        <v>10000</v>
      </c>
    </row>
    <row r="61" spans="3:24" ht="20.100000000000001" hidden="1" customHeight="1">
      <c r="C61" s="878"/>
      <c r="D61" s="879">
        <v>1</v>
      </c>
      <c r="E61" s="879" t="s">
        <v>100</v>
      </c>
      <c r="F61" s="880" t="s">
        <v>117</v>
      </c>
      <c r="G61" s="1627"/>
      <c r="H61" s="982" t="s">
        <v>204</v>
      </c>
      <c r="I61" s="1630"/>
      <c r="J61" s="1633"/>
      <c r="K61" s="881" t="s">
        <v>688</v>
      </c>
      <c r="L61" s="946"/>
      <c r="M61" s="970">
        <v>0.25</v>
      </c>
      <c r="N61" s="970"/>
      <c r="O61" s="970">
        <v>0.25</v>
      </c>
      <c r="P61" s="970">
        <v>0.25</v>
      </c>
      <c r="Q61" s="970">
        <v>0.25</v>
      </c>
      <c r="R61" s="970">
        <v>0.25</v>
      </c>
      <c r="S61" s="970">
        <v>0.25</v>
      </c>
      <c r="T61" s="970">
        <v>0.25</v>
      </c>
      <c r="U61" s="970">
        <v>0.25</v>
      </c>
      <c r="V61" s="970">
        <v>0.25</v>
      </c>
      <c r="W61" s="970">
        <v>0.25</v>
      </c>
      <c r="X61" s="1212">
        <v>0.25</v>
      </c>
    </row>
    <row r="62" spans="3:24" ht="20.100000000000001" customHeight="1">
      <c r="C62" s="899"/>
      <c r="D62" s="1276">
        <v>1</v>
      </c>
      <c r="E62" s="1276" t="s">
        <v>100</v>
      </c>
      <c r="F62" s="900" t="s">
        <v>117</v>
      </c>
      <c r="G62" s="1628"/>
      <c r="H62" s="983" t="s">
        <v>204</v>
      </c>
      <c r="I62" s="1631"/>
      <c r="J62" s="1634"/>
      <c r="K62" s="901" t="s">
        <v>569</v>
      </c>
      <c r="L62" s="902">
        <f>SUM(M62:X62)</f>
        <v>70500</v>
      </c>
      <c r="M62" s="927">
        <f t="shared" ref="M62:X62" si="38">(M60*M61)</f>
        <v>5000</v>
      </c>
      <c r="N62" s="903">
        <f t="shared" si="38"/>
        <v>0</v>
      </c>
      <c r="O62" s="903">
        <f t="shared" si="38"/>
        <v>3500</v>
      </c>
      <c r="P62" s="903">
        <f t="shared" si="38"/>
        <v>7000</v>
      </c>
      <c r="Q62" s="903">
        <f t="shared" si="38"/>
        <v>8500</v>
      </c>
      <c r="R62" s="903">
        <f t="shared" si="38"/>
        <v>8750</v>
      </c>
      <c r="S62" s="903">
        <f t="shared" si="38"/>
        <v>11500</v>
      </c>
      <c r="T62" s="903">
        <f t="shared" si="38"/>
        <v>11250</v>
      </c>
      <c r="U62" s="903">
        <f t="shared" si="38"/>
        <v>7500</v>
      </c>
      <c r="V62" s="903">
        <f t="shared" si="38"/>
        <v>2500</v>
      </c>
      <c r="W62" s="903">
        <f t="shared" si="38"/>
        <v>2500</v>
      </c>
      <c r="X62" s="904">
        <f t="shared" si="38"/>
        <v>2500</v>
      </c>
    </row>
    <row r="63" spans="3:24" ht="20.100000000000001" customHeight="1" collapsed="1"/>
    <row r="64" spans="3:24" ht="15.75" thickBot="1">
      <c r="F64" s="860" t="e">
        <f>(#REF!+#REF!+#REF!+#REF!)</f>
        <v>#REF!</v>
      </c>
      <c r="G64" s="860"/>
      <c r="H64" s="861"/>
      <c r="I64" s="860"/>
      <c r="J64" s="860"/>
      <c r="K64" s="102"/>
      <c r="L64" s="862">
        <f t="shared" ref="L64:X64" si="39">SUBTOTAL(9,L69:L77)</f>
        <v>1632534.6911080007</v>
      </c>
      <c r="M64" s="862">
        <f t="shared" si="39"/>
        <v>442877.6796028571</v>
      </c>
      <c r="N64" s="862">
        <f t="shared" si="39"/>
        <v>41006.829615311006</v>
      </c>
      <c r="O64" s="862">
        <f t="shared" si="39"/>
        <v>131977.75214988261</v>
      </c>
      <c r="P64" s="862">
        <f t="shared" si="39"/>
        <v>18435.91661055238</v>
      </c>
      <c r="Q64" s="862">
        <f t="shared" si="39"/>
        <v>205202.80953340261</v>
      </c>
      <c r="R64" s="862">
        <f t="shared" si="39"/>
        <v>70821.712076986325</v>
      </c>
      <c r="S64" s="862">
        <f t="shared" si="39"/>
        <v>593667.39960228582</v>
      </c>
      <c r="T64" s="862">
        <f t="shared" si="39"/>
        <v>54906.557460007207</v>
      </c>
      <c r="U64" s="862">
        <f t="shared" si="39"/>
        <v>7500</v>
      </c>
      <c r="V64" s="862">
        <f t="shared" si="39"/>
        <v>2500</v>
      </c>
      <c r="W64" s="862">
        <f t="shared" si="39"/>
        <v>59718.320171001433</v>
      </c>
      <c r="X64" s="862">
        <f t="shared" si="39"/>
        <v>3919.7142857142858</v>
      </c>
    </row>
    <row r="65" spans="3:24" ht="15" customHeight="1">
      <c r="C65" s="1605" t="s">
        <v>0</v>
      </c>
      <c r="D65" s="1608" t="s">
        <v>94</v>
      </c>
      <c r="E65" s="1608" t="s">
        <v>664</v>
      </c>
      <c r="F65" s="1608" t="s">
        <v>2</v>
      </c>
      <c r="G65" s="1608" t="s">
        <v>665</v>
      </c>
      <c r="H65" s="1623" t="s">
        <v>666</v>
      </c>
      <c r="I65" s="1611" t="s">
        <v>667</v>
      </c>
      <c r="J65" s="1611" t="s">
        <v>668</v>
      </c>
      <c r="K65" s="1614" t="s">
        <v>687</v>
      </c>
      <c r="L65" s="1614" t="s">
        <v>669</v>
      </c>
      <c r="M65" s="863" t="s">
        <v>670</v>
      </c>
      <c r="N65" s="864" t="s">
        <v>671</v>
      </c>
      <c r="O65" s="863" t="s">
        <v>672</v>
      </c>
      <c r="P65" s="864" t="s">
        <v>673</v>
      </c>
      <c r="Q65" s="863" t="s">
        <v>674</v>
      </c>
      <c r="R65" s="864" t="s">
        <v>675</v>
      </c>
      <c r="S65" s="863" t="s">
        <v>676</v>
      </c>
      <c r="T65" s="864" t="s">
        <v>677</v>
      </c>
      <c r="U65" s="863" t="s">
        <v>678</v>
      </c>
      <c r="V65" s="864" t="s">
        <v>679</v>
      </c>
      <c r="W65" s="863" t="s">
        <v>680</v>
      </c>
      <c r="X65" s="865" t="s">
        <v>681</v>
      </c>
    </row>
    <row r="66" spans="3:24" ht="16.5" customHeight="1">
      <c r="C66" s="1606"/>
      <c r="D66" s="1609"/>
      <c r="E66" s="1609"/>
      <c r="F66" s="1609"/>
      <c r="G66" s="1609"/>
      <c r="H66" s="1624"/>
      <c r="I66" s="1612"/>
      <c r="J66" s="1612"/>
      <c r="K66" s="1615"/>
      <c r="L66" s="1615"/>
      <c r="M66" s="866">
        <f t="shared" ref="M66:X66" si="40">WEEKNUM(M67,21)</f>
        <v>1</v>
      </c>
      <c r="N66" s="867">
        <f t="shared" si="40"/>
        <v>5</v>
      </c>
      <c r="O66" s="866">
        <f t="shared" si="40"/>
        <v>9</v>
      </c>
      <c r="P66" s="867">
        <f t="shared" si="40"/>
        <v>14</v>
      </c>
      <c r="Q66" s="866">
        <f t="shared" si="40"/>
        <v>18</v>
      </c>
      <c r="R66" s="867">
        <f t="shared" si="40"/>
        <v>22</v>
      </c>
      <c r="S66" s="866">
        <f t="shared" si="40"/>
        <v>27</v>
      </c>
      <c r="T66" s="867">
        <f t="shared" si="40"/>
        <v>31</v>
      </c>
      <c r="U66" s="866">
        <f t="shared" si="40"/>
        <v>35</v>
      </c>
      <c r="V66" s="867">
        <f t="shared" si="40"/>
        <v>40</v>
      </c>
      <c r="W66" s="866">
        <f t="shared" si="40"/>
        <v>44</v>
      </c>
      <c r="X66" s="868">
        <f t="shared" si="40"/>
        <v>48</v>
      </c>
    </row>
    <row r="67" spans="3:24" ht="15.75" thickBot="1">
      <c r="C67" s="1607"/>
      <c r="D67" s="1610"/>
      <c r="E67" s="1610"/>
      <c r="F67" s="1610"/>
      <c r="G67" s="1610"/>
      <c r="H67" s="1625"/>
      <c r="I67" s="1613"/>
      <c r="J67" s="1613"/>
      <c r="K67" s="1616"/>
      <c r="L67" s="1616"/>
      <c r="M67" s="869">
        <v>45292</v>
      </c>
      <c r="N67" s="870">
        <v>45323</v>
      </c>
      <c r="O67" s="869">
        <v>45352</v>
      </c>
      <c r="P67" s="870">
        <v>45383</v>
      </c>
      <c r="Q67" s="869">
        <v>45413</v>
      </c>
      <c r="R67" s="870">
        <v>45444</v>
      </c>
      <c r="S67" s="869">
        <v>45474</v>
      </c>
      <c r="T67" s="870">
        <v>45505</v>
      </c>
      <c r="U67" s="869">
        <v>45536</v>
      </c>
      <c r="V67" s="870">
        <v>45566</v>
      </c>
      <c r="W67" s="869">
        <v>45597</v>
      </c>
      <c r="X67" s="871">
        <v>45627</v>
      </c>
    </row>
    <row r="69" spans="3:24">
      <c r="H69" s="101" t="s">
        <v>208</v>
      </c>
      <c r="J69" s="954">
        <v>35.298482930822516</v>
      </c>
      <c r="K69" s="926" t="s">
        <v>569</v>
      </c>
      <c r="L69" s="902">
        <f>SUM(M69:X69)</f>
        <v>29786.853232385281</v>
      </c>
      <c r="M69" s="927">
        <f t="shared" ref="M69:X69" si="41">(M28)</f>
        <v>5459.8224600000012</v>
      </c>
      <c r="N69" s="903">
        <f t="shared" si="41"/>
        <v>2316.2883163636366</v>
      </c>
      <c r="O69" s="903">
        <f t="shared" si="41"/>
        <v>5923.0801232727281</v>
      </c>
      <c r="P69" s="903">
        <f t="shared" si="41"/>
        <v>629.46027333333336</v>
      </c>
      <c r="Q69" s="903">
        <f t="shared" si="41"/>
        <v>3088.3125545454545</v>
      </c>
      <c r="R69" s="903">
        <f t="shared" si="41"/>
        <v>4344.2263267272729</v>
      </c>
      <c r="S69" s="903">
        <f t="shared" si="41"/>
        <v>1472.4095428571427</v>
      </c>
      <c r="T69" s="903">
        <f t="shared" si="41"/>
        <v>2311.6829822857139</v>
      </c>
      <c r="U69" s="903">
        <f t="shared" si="41"/>
        <v>0</v>
      </c>
      <c r="V69" s="903">
        <f t="shared" si="41"/>
        <v>0</v>
      </c>
      <c r="W69" s="903">
        <f t="shared" si="41"/>
        <v>4140.0706529999998</v>
      </c>
      <c r="X69" s="904">
        <f t="shared" si="41"/>
        <v>101.49999999999999</v>
      </c>
    </row>
    <row r="70" spans="3:24">
      <c r="H70" s="101" t="s">
        <v>204</v>
      </c>
      <c r="J70" s="955">
        <v>0.25</v>
      </c>
      <c r="K70" s="926" t="s">
        <v>569</v>
      </c>
      <c r="L70" s="902">
        <f t="shared" ref="L70:L73" si="42">SUM(M70:X70)</f>
        <v>70500</v>
      </c>
      <c r="M70" s="927">
        <f t="shared" ref="M70:X70" si="43">(M62)</f>
        <v>5000</v>
      </c>
      <c r="N70" s="903">
        <f t="shared" si="43"/>
        <v>0</v>
      </c>
      <c r="O70" s="903">
        <f t="shared" si="43"/>
        <v>3500</v>
      </c>
      <c r="P70" s="903">
        <f t="shared" si="43"/>
        <v>7000</v>
      </c>
      <c r="Q70" s="903">
        <f t="shared" si="43"/>
        <v>8500</v>
      </c>
      <c r="R70" s="903">
        <f t="shared" si="43"/>
        <v>8750</v>
      </c>
      <c r="S70" s="903">
        <f t="shared" si="43"/>
        <v>11500</v>
      </c>
      <c r="T70" s="903">
        <f t="shared" si="43"/>
        <v>11250</v>
      </c>
      <c r="U70" s="903">
        <f t="shared" si="43"/>
        <v>7500</v>
      </c>
      <c r="V70" s="903">
        <f t="shared" si="43"/>
        <v>2500</v>
      </c>
      <c r="W70" s="903">
        <f t="shared" si="43"/>
        <v>2500</v>
      </c>
      <c r="X70" s="904">
        <f t="shared" si="43"/>
        <v>2500</v>
      </c>
    </row>
    <row r="71" spans="3:24">
      <c r="H71" s="101" t="s">
        <v>148</v>
      </c>
      <c r="J71" s="955">
        <v>0.5</v>
      </c>
      <c r="K71" s="926" t="s">
        <v>569</v>
      </c>
      <c r="L71" s="902">
        <f t="shared" si="42"/>
        <v>772620</v>
      </c>
      <c r="M71" s="927">
        <f t="shared" ref="M71:X71" si="44">(M47+M56)</f>
        <v>261600</v>
      </c>
      <c r="N71" s="903">
        <f t="shared" si="44"/>
        <v>0</v>
      </c>
      <c r="O71" s="903">
        <f t="shared" si="44"/>
        <v>24000</v>
      </c>
      <c r="P71" s="903">
        <f t="shared" si="44"/>
        <v>0</v>
      </c>
      <c r="Q71" s="903">
        <f t="shared" si="44"/>
        <v>95360</v>
      </c>
      <c r="R71" s="903">
        <f t="shared" si="44"/>
        <v>0</v>
      </c>
      <c r="S71" s="903">
        <f t="shared" si="44"/>
        <v>391660</v>
      </c>
      <c r="T71" s="903">
        <f t="shared" si="44"/>
        <v>0</v>
      </c>
      <c r="U71" s="903">
        <f t="shared" si="44"/>
        <v>0</v>
      </c>
      <c r="V71" s="903">
        <f t="shared" si="44"/>
        <v>0</v>
      </c>
      <c r="W71" s="903">
        <f t="shared" si="44"/>
        <v>0</v>
      </c>
      <c r="X71" s="904">
        <f t="shared" si="44"/>
        <v>0</v>
      </c>
    </row>
    <row r="72" spans="3:24">
      <c r="H72" s="101" t="s">
        <v>685</v>
      </c>
      <c r="J72" s="954">
        <v>25.88020326183306</v>
      </c>
      <c r="K72" s="926" t="s">
        <v>569</v>
      </c>
      <c r="L72" s="902">
        <f t="shared" si="42"/>
        <v>129474.98073275827</v>
      </c>
      <c r="M72" s="927">
        <f t="shared" ref="M72:X72" si="45">(M31)</f>
        <v>17325</v>
      </c>
      <c r="N72" s="903">
        <f t="shared" si="45"/>
        <v>12670.541298947372</v>
      </c>
      <c r="O72" s="903">
        <f t="shared" si="45"/>
        <v>32017.814883752737</v>
      </c>
      <c r="P72" s="903">
        <f t="shared" si="45"/>
        <v>3372.1706229333336</v>
      </c>
      <c r="Q72" s="903">
        <f t="shared" si="45"/>
        <v>12645.639836</v>
      </c>
      <c r="R72" s="903">
        <f t="shared" si="45"/>
        <v>17788.200035973336</v>
      </c>
      <c r="S72" s="903">
        <f t="shared" si="45"/>
        <v>7386.4186308571407</v>
      </c>
      <c r="T72" s="903">
        <f t="shared" si="45"/>
        <v>11627.017334864349</v>
      </c>
      <c r="U72" s="903">
        <f t="shared" si="45"/>
        <v>0</v>
      </c>
      <c r="V72" s="903">
        <f t="shared" si="45"/>
        <v>0</v>
      </c>
      <c r="W72" s="903">
        <f t="shared" si="45"/>
        <v>14274.678089429999</v>
      </c>
      <c r="X72" s="904">
        <f t="shared" si="45"/>
        <v>367.5</v>
      </c>
    </row>
    <row r="73" spans="3:24">
      <c r="H73" s="101" t="s">
        <v>215</v>
      </c>
      <c r="J73" s="954">
        <v>123.21428571428574</v>
      </c>
      <c r="K73" s="926" t="s">
        <v>569</v>
      </c>
      <c r="L73" s="902">
        <f t="shared" si="42"/>
        <v>249974.57142857145</v>
      </c>
      <c r="M73" s="927">
        <f t="shared" ref="M73:X73" si="46">(M37)</f>
        <v>48085.71428571429</v>
      </c>
      <c r="N73" s="903">
        <f t="shared" si="46"/>
        <v>20400</v>
      </c>
      <c r="O73" s="903">
        <f t="shared" si="46"/>
        <v>52165.714285714283</v>
      </c>
      <c r="P73" s="903">
        <f t="shared" si="46"/>
        <v>5828.5714285714284</v>
      </c>
      <c r="Q73" s="903">
        <f t="shared" si="46"/>
        <v>22371.428571428572</v>
      </c>
      <c r="R73" s="903">
        <f t="shared" si="46"/>
        <v>31469.142857142859</v>
      </c>
      <c r="S73" s="903">
        <f t="shared" si="46"/>
        <v>14914.285714285716</v>
      </c>
      <c r="T73" s="903">
        <f t="shared" si="46"/>
        <v>23415.428571428572</v>
      </c>
      <c r="U73" s="903">
        <f t="shared" si="46"/>
        <v>0</v>
      </c>
      <c r="V73" s="903">
        <f t="shared" si="46"/>
        <v>0</v>
      </c>
      <c r="W73" s="903">
        <f t="shared" si="46"/>
        <v>30574.285714285717</v>
      </c>
      <c r="X73" s="904">
        <f t="shared" si="46"/>
        <v>750</v>
      </c>
    </row>
    <row r="74" spans="3:24">
      <c r="H74" s="101" t="s">
        <v>216</v>
      </c>
      <c r="J74" s="953">
        <v>37</v>
      </c>
      <c r="K74" s="881" t="s">
        <v>569</v>
      </c>
      <c r="L74" s="902">
        <f t="shared" ref="L74:L77" si="47">SUM(M74:X74)</f>
        <v>35858.285714285717</v>
      </c>
      <c r="M74" s="927">
        <f t="shared" ref="M74:X74" si="48">(M40)</f>
        <v>6977.1428571428578</v>
      </c>
      <c r="N74" s="903">
        <f t="shared" si="48"/>
        <v>2960</v>
      </c>
      <c r="O74" s="903">
        <f t="shared" si="48"/>
        <v>7569.1428571428587</v>
      </c>
      <c r="P74" s="903">
        <f t="shared" si="48"/>
        <v>845.71428571428578</v>
      </c>
      <c r="Q74" s="903">
        <f t="shared" si="48"/>
        <v>3171.4285714285716</v>
      </c>
      <c r="R74" s="903">
        <f t="shared" si="48"/>
        <v>4461.1428571428578</v>
      </c>
      <c r="S74" s="903">
        <f t="shared" si="48"/>
        <v>2114.2857142857142</v>
      </c>
      <c r="T74" s="903">
        <f t="shared" si="48"/>
        <v>3319.4285714285716</v>
      </c>
      <c r="U74" s="903">
        <f t="shared" si="48"/>
        <v>0</v>
      </c>
      <c r="V74" s="903">
        <f t="shared" si="48"/>
        <v>0</v>
      </c>
      <c r="W74" s="903">
        <f t="shared" si="48"/>
        <v>4334.2857142857147</v>
      </c>
      <c r="X74" s="904">
        <f t="shared" si="48"/>
        <v>105.71428571428572</v>
      </c>
    </row>
    <row r="75" spans="3:24">
      <c r="H75" s="101" t="s">
        <v>217</v>
      </c>
      <c r="J75" s="953">
        <v>1.1999999999999997</v>
      </c>
      <c r="K75" s="901" t="s">
        <v>569</v>
      </c>
      <c r="L75" s="902">
        <f t="shared" si="47"/>
        <v>15264</v>
      </c>
      <c r="M75" s="927">
        <f t="shared" ref="M75:X75" si="49">(M34)</f>
        <v>2970</v>
      </c>
      <c r="N75" s="903">
        <f t="shared" si="49"/>
        <v>1260</v>
      </c>
      <c r="O75" s="903">
        <f t="shared" si="49"/>
        <v>3222</v>
      </c>
      <c r="P75" s="903">
        <f t="shared" si="49"/>
        <v>360</v>
      </c>
      <c r="Q75" s="903">
        <f t="shared" si="49"/>
        <v>1350</v>
      </c>
      <c r="R75" s="903">
        <f t="shared" si="49"/>
        <v>1899</v>
      </c>
      <c r="S75" s="903">
        <f t="shared" si="49"/>
        <v>900</v>
      </c>
      <c r="T75" s="903">
        <f t="shared" si="49"/>
        <v>1413</v>
      </c>
      <c r="U75" s="903">
        <f t="shared" si="49"/>
        <v>0</v>
      </c>
      <c r="V75" s="903">
        <f t="shared" si="49"/>
        <v>0</v>
      </c>
      <c r="W75" s="903">
        <f t="shared" si="49"/>
        <v>1845</v>
      </c>
      <c r="X75" s="904">
        <f t="shared" si="49"/>
        <v>45</v>
      </c>
    </row>
    <row r="76" spans="3:24">
      <c r="H76" s="101" t="s">
        <v>218</v>
      </c>
      <c r="J76" s="953">
        <v>1</v>
      </c>
      <c r="K76" s="901" t="s">
        <v>569</v>
      </c>
      <c r="L76" s="902">
        <f t="shared" si="47"/>
        <v>16960</v>
      </c>
      <c r="M76" s="927">
        <f t="shared" ref="M76:X76" si="50">(M25)</f>
        <v>3300</v>
      </c>
      <c r="N76" s="903">
        <f t="shared" si="50"/>
        <v>1400</v>
      </c>
      <c r="O76" s="903">
        <f t="shared" si="50"/>
        <v>3580</v>
      </c>
      <c r="P76" s="903">
        <f t="shared" si="50"/>
        <v>400</v>
      </c>
      <c r="Q76" s="903">
        <f t="shared" si="50"/>
        <v>1500</v>
      </c>
      <c r="R76" s="903">
        <f t="shared" si="50"/>
        <v>2110</v>
      </c>
      <c r="S76" s="903">
        <f t="shared" si="50"/>
        <v>1000</v>
      </c>
      <c r="T76" s="903">
        <f t="shared" si="50"/>
        <v>1570</v>
      </c>
      <c r="U76" s="903">
        <f t="shared" si="50"/>
        <v>0</v>
      </c>
      <c r="V76" s="903">
        <f t="shared" si="50"/>
        <v>0</v>
      </c>
      <c r="W76" s="903">
        <f t="shared" si="50"/>
        <v>2050</v>
      </c>
      <c r="X76" s="904">
        <f t="shared" si="50"/>
        <v>50</v>
      </c>
    </row>
    <row r="77" spans="3:24" ht="20.100000000000001" customHeight="1">
      <c r="H77" s="101" t="s">
        <v>186</v>
      </c>
      <c r="J77" s="953">
        <v>1.2</v>
      </c>
      <c r="K77" s="901" t="s">
        <v>569</v>
      </c>
      <c r="L77" s="902">
        <f t="shared" si="47"/>
        <v>312096</v>
      </c>
      <c r="M77" s="927">
        <f t="shared" ref="M77:X77" si="51">(M50)</f>
        <v>92160</v>
      </c>
      <c r="N77" s="903">
        <f t="shared" si="51"/>
        <v>0</v>
      </c>
      <c r="O77" s="903">
        <f t="shared" si="51"/>
        <v>0</v>
      </c>
      <c r="P77" s="903">
        <f t="shared" si="51"/>
        <v>0</v>
      </c>
      <c r="Q77" s="903">
        <f t="shared" si="51"/>
        <v>57216</v>
      </c>
      <c r="R77" s="903">
        <f t="shared" si="51"/>
        <v>0</v>
      </c>
      <c r="S77" s="903">
        <f t="shared" si="51"/>
        <v>162720</v>
      </c>
      <c r="T77" s="903">
        <f t="shared" si="51"/>
        <v>0</v>
      </c>
      <c r="U77" s="903">
        <f t="shared" si="51"/>
        <v>0</v>
      </c>
      <c r="V77" s="903">
        <f t="shared" si="51"/>
        <v>0</v>
      </c>
      <c r="W77" s="903">
        <f t="shared" si="51"/>
        <v>0</v>
      </c>
      <c r="X77" s="904">
        <f t="shared" si="51"/>
        <v>0</v>
      </c>
    </row>
    <row r="78" spans="3:24" ht="18" customHeight="1"/>
    <row r="79" spans="3:24" ht="15.75" thickBot="1">
      <c r="F79" s="860" t="e">
        <f>(#REF!+#REF!+#REF!+#REF!)</f>
        <v>#REF!</v>
      </c>
      <c r="G79" s="860"/>
      <c r="H79" s="861"/>
      <c r="I79" s="860"/>
      <c r="J79" s="860"/>
      <c r="K79" s="102"/>
      <c r="L79" s="862">
        <f>SUBTOTAL(9,L84:L95)</f>
        <v>563524.53644444444</v>
      </c>
      <c r="M79" s="862">
        <f>SUBTOTAL(9,M84:M95)</f>
        <v>105636.78909999999</v>
      </c>
      <c r="N79" s="862">
        <f t="shared" ref="N79:X79" si="52">SUBTOTAL(9,N84:N95)</f>
        <v>44905.273544444441</v>
      </c>
      <c r="O79" s="862">
        <f t="shared" si="52"/>
        <v>114586.69665555554</v>
      </c>
      <c r="P79" s="862">
        <f t="shared" si="52"/>
        <v>12941.317988888886</v>
      </c>
      <c r="Q79" s="862">
        <f t="shared" si="52"/>
        <v>48101.669099999999</v>
      </c>
      <c r="R79" s="862">
        <f t="shared" si="52"/>
        <v>67599.681988888886</v>
      </c>
      <c r="S79" s="862">
        <f t="shared" si="52"/>
        <v>32119.691322222221</v>
      </c>
      <c r="T79" s="862">
        <f t="shared" si="52"/>
        <v>50339.145988888886</v>
      </c>
      <c r="U79" s="862">
        <f t="shared" si="52"/>
        <v>2066.1571111111107</v>
      </c>
      <c r="V79" s="862">
        <f t="shared" si="52"/>
        <v>19646.332666666662</v>
      </c>
      <c r="W79" s="862">
        <f t="shared" si="52"/>
        <v>65681.844655555557</v>
      </c>
      <c r="X79" s="862">
        <f t="shared" si="52"/>
        <v>1753.9335444444441</v>
      </c>
    </row>
    <row r="80" spans="3:24" ht="15" customHeight="1">
      <c r="C80" s="1605" t="s">
        <v>0</v>
      </c>
      <c r="D80" s="1608" t="s">
        <v>94</v>
      </c>
      <c r="E80" s="1608" t="s">
        <v>664</v>
      </c>
      <c r="F80" s="1608" t="s">
        <v>2</v>
      </c>
      <c r="G80" s="1608" t="s">
        <v>665</v>
      </c>
      <c r="H80" s="1623" t="s">
        <v>666</v>
      </c>
      <c r="I80" s="1611" t="s">
        <v>667</v>
      </c>
      <c r="J80" s="1611" t="s">
        <v>668</v>
      </c>
      <c r="K80" s="1614" t="s">
        <v>75</v>
      </c>
      <c r="L80" s="1614" t="s">
        <v>669</v>
      </c>
      <c r="M80" s="863" t="s">
        <v>670</v>
      </c>
      <c r="N80" s="864" t="s">
        <v>671</v>
      </c>
      <c r="O80" s="863" t="s">
        <v>672</v>
      </c>
      <c r="P80" s="864" t="s">
        <v>673</v>
      </c>
      <c r="Q80" s="863" t="s">
        <v>674</v>
      </c>
      <c r="R80" s="864" t="s">
        <v>675</v>
      </c>
      <c r="S80" s="863" t="s">
        <v>676</v>
      </c>
      <c r="T80" s="864" t="s">
        <v>677</v>
      </c>
      <c r="U80" s="863" t="s">
        <v>678</v>
      </c>
      <c r="V80" s="864" t="s">
        <v>679</v>
      </c>
      <c r="W80" s="863" t="s">
        <v>680</v>
      </c>
      <c r="X80" s="865" t="s">
        <v>681</v>
      </c>
    </row>
    <row r="81" spans="3:24" ht="16.5" customHeight="1">
      <c r="C81" s="1606"/>
      <c r="D81" s="1609"/>
      <c r="E81" s="1609"/>
      <c r="F81" s="1609"/>
      <c r="G81" s="1609"/>
      <c r="H81" s="1624"/>
      <c r="I81" s="1612"/>
      <c r="J81" s="1612"/>
      <c r="K81" s="1615"/>
      <c r="L81" s="1615"/>
      <c r="M81" s="1092">
        <f t="shared" ref="M81:X81" si="53">WEEKNUM(M82,21)</f>
        <v>1</v>
      </c>
      <c r="N81" s="1093">
        <f t="shared" si="53"/>
        <v>5</v>
      </c>
      <c r="O81" s="1092">
        <f t="shared" si="53"/>
        <v>9</v>
      </c>
      <c r="P81" s="1093">
        <f t="shared" si="53"/>
        <v>14</v>
      </c>
      <c r="Q81" s="1092">
        <f t="shared" si="53"/>
        <v>18</v>
      </c>
      <c r="R81" s="1093">
        <f t="shared" si="53"/>
        <v>22</v>
      </c>
      <c r="S81" s="1092">
        <f t="shared" si="53"/>
        <v>27</v>
      </c>
      <c r="T81" s="1093">
        <f t="shared" si="53"/>
        <v>31</v>
      </c>
      <c r="U81" s="1092">
        <f t="shared" si="53"/>
        <v>35</v>
      </c>
      <c r="V81" s="1093">
        <f t="shared" si="53"/>
        <v>40</v>
      </c>
      <c r="W81" s="1092">
        <f t="shared" si="53"/>
        <v>44</v>
      </c>
      <c r="X81" s="1094">
        <f t="shared" si="53"/>
        <v>48</v>
      </c>
    </row>
    <row r="82" spans="3:24" ht="15.75" thickBot="1">
      <c r="C82" s="1607"/>
      <c r="D82" s="1610"/>
      <c r="E82" s="1610"/>
      <c r="F82" s="1610"/>
      <c r="G82" s="1610"/>
      <c r="H82" s="1625"/>
      <c r="I82" s="1613"/>
      <c r="J82" s="1613"/>
      <c r="K82" s="1616"/>
      <c r="L82" s="1616"/>
      <c r="M82" s="869">
        <v>45292</v>
      </c>
      <c r="N82" s="870">
        <v>45323</v>
      </c>
      <c r="O82" s="869">
        <v>45352</v>
      </c>
      <c r="P82" s="870">
        <v>45383</v>
      </c>
      <c r="Q82" s="869">
        <v>45413</v>
      </c>
      <c r="R82" s="870">
        <v>45444</v>
      </c>
      <c r="S82" s="869">
        <v>45474</v>
      </c>
      <c r="T82" s="870">
        <v>45505</v>
      </c>
      <c r="U82" s="869">
        <v>45536</v>
      </c>
      <c r="V82" s="870">
        <v>45566</v>
      </c>
      <c r="W82" s="869">
        <v>45597</v>
      </c>
      <c r="X82" s="871">
        <v>45627</v>
      </c>
    </row>
    <row r="83" spans="3:24" ht="9.75" customHeight="1" thickBot="1">
      <c r="C83" s="872"/>
      <c r="D83" s="873"/>
      <c r="E83" s="873"/>
      <c r="F83" s="874"/>
      <c r="G83" s="874"/>
      <c r="H83" s="875"/>
      <c r="I83" s="874"/>
      <c r="J83" s="874"/>
      <c r="K83" s="874"/>
      <c r="L83" s="874"/>
      <c r="M83" s="873"/>
      <c r="N83" s="876"/>
      <c r="O83" s="876"/>
      <c r="P83" s="876"/>
      <c r="Q83" s="876"/>
      <c r="R83" s="876"/>
      <c r="S83" s="876"/>
      <c r="T83" s="876"/>
      <c r="U83" s="876"/>
      <c r="V83" s="876"/>
      <c r="W83" s="876"/>
      <c r="X83" s="877"/>
    </row>
    <row r="84" spans="3:24" ht="20.100000000000001" customHeight="1" collapsed="1">
      <c r="C84" s="878">
        <v>4</v>
      </c>
      <c r="D84" s="879">
        <v>0</v>
      </c>
      <c r="E84" s="879" t="s">
        <v>242</v>
      </c>
      <c r="F84" s="880" t="s">
        <v>684</v>
      </c>
      <c r="G84" s="1617"/>
      <c r="H84" s="1617"/>
      <c r="I84" s="1619">
        <v>1000</v>
      </c>
      <c r="J84" s="1621">
        <f>AVERAGE(M85:X85)</f>
        <v>7.4159888888888883</v>
      </c>
      <c r="K84" s="881" t="s">
        <v>682</v>
      </c>
      <c r="L84" s="882">
        <f>SUM(M84:X84)</f>
        <v>35260</v>
      </c>
      <c r="M84" s="987">
        <f t="shared" ref="M84:X84" si="54">(M20)</f>
        <v>6600</v>
      </c>
      <c r="N84" s="883">
        <f t="shared" si="54"/>
        <v>2800</v>
      </c>
      <c r="O84" s="883">
        <f t="shared" si="54"/>
        <v>7160</v>
      </c>
      <c r="P84" s="883">
        <f t="shared" si="54"/>
        <v>800</v>
      </c>
      <c r="Q84" s="883">
        <f t="shared" si="54"/>
        <v>3000</v>
      </c>
      <c r="R84" s="883">
        <f t="shared" si="54"/>
        <v>4220</v>
      </c>
      <c r="S84" s="883">
        <f t="shared" si="54"/>
        <v>2000</v>
      </c>
      <c r="T84" s="883">
        <f t="shared" si="54"/>
        <v>3140</v>
      </c>
      <c r="U84" s="883">
        <f t="shared" si="54"/>
        <v>120</v>
      </c>
      <c r="V84" s="883">
        <f t="shared" si="54"/>
        <v>1220</v>
      </c>
      <c r="W84" s="883">
        <f t="shared" si="54"/>
        <v>4100</v>
      </c>
      <c r="X84" s="991">
        <f t="shared" si="54"/>
        <v>100</v>
      </c>
    </row>
    <row r="85" spans="3:24" ht="20.100000000000001" customHeight="1">
      <c r="C85" s="948"/>
      <c r="D85" s="1275">
        <v>0</v>
      </c>
      <c r="E85" s="1275"/>
      <c r="F85" s="950" t="s">
        <v>684</v>
      </c>
      <c r="G85" s="1617"/>
      <c r="H85" s="1617"/>
      <c r="I85" s="1619"/>
      <c r="J85" s="1621"/>
      <c r="K85" s="881" t="s">
        <v>688</v>
      </c>
      <c r="L85" s="952"/>
      <c r="M85" s="970">
        <f>(M86/M84)</f>
        <v>7.4159888888888874</v>
      </c>
      <c r="N85" s="970">
        <f t="shared" ref="N85:T85" si="55">(N86/N84)</f>
        <v>7.4159888888888883</v>
      </c>
      <c r="O85" s="970">
        <f t="shared" si="55"/>
        <v>7.4159888888888883</v>
      </c>
      <c r="P85" s="970">
        <f t="shared" si="55"/>
        <v>7.4159888888888874</v>
      </c>
      <c r="Q85" s="970">
        <f t="shared" si="55"/>
        <v>7.4159888888888874</v>
      </c>
      <c r="R85" s="970">
        <f t="shared" si="55"/>
        <v>7.4159888888888883</v>
      </c>
      <c r="S85" s="970">
        <f t="shared" si="55"/>
        <v>7.4159888888888883</v>
      </c>
      <c r="T85" s="970">
        <f t="shared" si="55"/>
        <v>7.4159888888888874</v>
      </c>
      <c r="U85" s="970"/>
      <c r="V85" s="970"/>
      <c r="W85" s="970">
        <f t="shared" ref="W85" si="56">(W86/W84)</f>
        <v>7.4159888888888883</v>
      </c>
      <c r="X85" s="976">
        <f>(X86/X84)</f>
        <v>7.4159888888888874</v>
      </c>
    </row>
    <row r="86" spans="3:24" ht="20.100000000000001" customHeight="1" thickBot="1">
      <c r="C86" s="885"/>
      <c r="D86" s="1278">
        <v>0</v>
      </c>
      <c r="E86" s="1278" t="s">
        <v>242</v>
      </c>
      <c r="F86" s="887" t="s">
        <v>684</v>
      </c>
      <c r="G86" s="1618"/>
      <c r="H86" s="1618"/>
      <c r="I86" s="1620"/>
      <c r="J86" s="1622"/>
      <c r="K86" s="888" t="s">
        <v>569</v>
      </c>
      <c r="L86" s="889">
        <f>SUM(M86:X86)</f>
        <v>261487.76822222222</v>
      </c>
      <c r="M86" s="919">
        <f>SUM(+M89+M92+M95)</f>
        <v>48945.526666666658</v>
      </c>
      <c r="N86" s="974">
        <f t="shared" ref="N86:X86" si="57">SUM(+N89+N92+N95)</f>
        <v>20764.768888888888</v>
      </c>
      <c r="O86" s="974">
        <f t="shared" si="57"/>
        <v>53098.480444444438</v>
      </c>
      <c r="P86" s="974">
        <f t="shared" si="57"/>
        <v>5932.7911111111098</v>
      </c>
      <c r="Q86" s="974">
        <f t="shared" si="57"/>
        <v>22247.966666666664</v>
      </c>
      <c r="R86" s="974">
        <f t="shared" si="57"/>
        <v>31295.47311111111</v>
      </c>
      <c r="S86" s="974">
        <f t="shared" si="57"/>
        <v>14831.977777777776</v>
      </c>
      <c r="T86" s="974">
        <f t="shared" si="57"/>
        <v>23286.205111111107</v>
      </c>
      <c r="U86" s="974">
        <f t="shared" si="57"/>
        <v>889.91866666666658</v>
      </c>
      <c r="V86" s="974">
        <f t="shared" si="57"/>
        <v>9047.5064444444433</v>
      </c>
      <c r="W86" s="974">
        <f t="shared" si="57"/>
        <v>30405.554444444442</v>
      </c>
      <c r="X86" s="975">
        <f t="shared" si="57"/>
        <v>741.59888888888872</v>
      </c>
    </row>
    <row r="87" spans="3:24" s="101" customFormat="1" ht="20.100000000000001" customHeight="1">
      <c r="C87" s="899"/>
      <c r="D87" s="1276">
        <v>8</v>
      </c>
      <c r="E87" s="1276" t="s">
        <v>100</v>
      </c>
      <c r="F87" s="900" t="s">
        <v>684</v>
      </c>
      <c r="G87" s="1650">
        <f>1/20</f>
        <v>0.05</v>
      </c>
      <c r="H87" s="983" t="s">
        <v>689</v>
      </c>
      <c r="I87" s="1651">
        <f>(I84*G87)</f>
        <v>50</v>
      </c>
      <c r="J87" s="1652">
        <f>AVERAGE(M88:X88)</f>
        <v>15</v>
      </c>
      <c r="K87" s="901" t="s">
        <v>682</v>
      </c>
      <c r="L87" s="911">
        <f>SUM(M87:X87)</f>
        <v>1763</v>
      </c>
      <c r="M87" s="912">
        <f>(M84*$G87)</f>
        <v>330</v>
      </c>
      <c r="N87" s="913">
        <f t="shared" ref="N87:X87" si="58">(N84*$G87)</f>
        <v>140</v>
      </c>
      <c r="O87" s="913">
        <f t="shared" si="58"/>
        <v>358</v>
      </c>
      <c r="P87" s="913">
        <f t="shared" si="58"/>
        <v>40</v>
      </c>
      <c r="Q87" s="913">
        <f t="shared" si="58"/>
        <v>150</v>
      </c>
      <c r="R87" s="913">
        <f t="shared" si="58"/>
        <v>211</v>
      </c>
      <c r="S87" s="913">
        <f t="shared" si="58"/>
        <v>100</v>
      </c>
      <c r="T87" s="913">
        <f t="shared" si="58"/>
        <v>157</v>
      </c>
      <c r="U87" s="913">
        <f t="shared" si="58"/>
        <v>6</v>
      </c>
      <c r="V87" s="913">
        <f t="shared" si="58"/>
        <v>61</v>
      </c>
      <c r="W87" s="913">
        <f t="shared" si="58"/>
        <v>205</v>
      </c>
      <c r="X87" s="914">
        <f t="shared" si="58"/>
        <v>5</v>
      </c>
    </row>
    <row r="88" spans="3:24" s="101" customFormat="1" ht="20.100000000000001" customHeight="1">
      <c r="C88" s="899"/>
      <c r="D88" s="1276">
        <v>8</v>
      </c>
      <c r="E88" s="1276" t="s">
        <v>100</v>
      </c>
      <c r="F88" s="900" t="s">
        <v>684</v>
      </c>
      <c r="G88" s="1650"/>
      <c r="H88" s="983" t="s">
        <v>689</v>
      </c>
      <c r="I88" s="1651"/>
      <c r="J88" s="1652"/>
      <c r="K88" s="901" t="s">
        <v>688</v>
      </c>
      <c r="L88" s="911"/>
      <c r="M88" s="970">
        <v>15</v>
      </c>
      <c r="N88" s="970">
        <v>15</v>
      </c>
      <c r="O88" s="970">
        <v>15</v>
      </c>
      <c r="P88" s="970">
        <v>15</v>
      </c>
      <c r="Q88" s="970">
        <v>15</v>
      </c>
      <c r="R88" s="970">
        <v>15</v>
      </c>
      <c r="S88" s="970">
        <v>15</v>
      </c>
      <c r="T88" s="970">
        <v>15</v>
      </c>
      <c r="U88" s="970">
        <v>15</v>
      </c>
      <c r="V88" s="970">
        <v>15</v>
      </c>
      <c r="W88" s="970">
        <v>15</v>
      </c>
      <c r="X88" s="976">
        <v>15</v>
      </c>
    </row>
    <row r="89" spans="3:24" s="101" customFormat="1" ht="20.100000000000001" customHeight="1">
      <c r="C89" s="899"/>
      <c r="D89" s="1276">
        <v>8</v>
      </c>
      <c r="E89" s="1276" t="s">
        <v>100</v>
      </c>
      <c r="F89" s="900" t="s">
        <v>684</v>
      </c>
      <c r="G89" s="1650"/>
      <c r="H89" s="983" t="s">
        <v>689</v>
      </c>
      <c r="I89" s="1651"/>
      <c r="J89" s="1652"/>
      <c r="K89" s="901" t="s">
        <v>569</v>
      </c>
      <c r="L89" s="902">
        <f>SUM(M89:X89)</f>
        <v>26445</v>
      </c>
      <c r="M89" s="927">
        <f>(M87*M88)</f>
        <v>4950</v>
      </c>
      <c r="N89" s="903">
        <f t="shared" ref="N89" si="59">(N87*N88)</f>
        <v>2100</v>
      </c>
      <c r="O89" s="903">
        <f>(O87*O88)</f>
        <v>5370</v>
      </c>
      <c r="P89" s="903">
        <f t="shared" ref="P89:W89" si="60">(P87*P88)</f>
        <v>600</v>
      </c>
      <c r="Q89" s="903">
        <f t="shared" si="60"/>
        <v>2250</v>
      </c>
      <c r="R89" s="903">
        <f t="shared" si="60"/>
        <v>3165</v>
      </c>
      <c r="S89" s="903">
        <f t="shared" si="60"/>
        <v>1500</v>
      </c>
      <c r="T89" s="903">
        <f t="shared" si="60"/>
        <v>2355</v>
      </c>
      <c r="U89" s="903">
        <f t="shared" si="60"/>
        <v>90</v>
      </c>
      <c r="V89" s="903">
        <f t="shared" si="60"/>
        <v>915</v>
      </c>
      <c r="W89" s="903">
        <f t="shared" si="60"/>
        <v>3075</v>
      </c>
      <c r="X89" s="904">
        <f>(X87*X88)</f>
        <v>75</v>
      </c>
    </row>
    <row r="90" spans="3:24" ht="20.100000000000001" customHeight="1">
      <c r="C90" s="899"/>
      <c r="D90" s="1276">
        <v>9</v>
      </c>
      <c r="E90" s="1276" t="s">
        <v>100</v>
      </c>
      <c r="F90" s="900" t="s">
        <v>684</v>
      </c>
      <c r="G90" s="1650">
        <f>1/20</f>
        <v>0.05</v>
      </c>
      <c r="H90" s="983" t="s">
        <v>690</v>
      </c>
      <c r="I90" s="1651">
        <f>(I84*G90)</f>
        <v>50</v>
      </c>
      <c r="J90" s="1652">
        <f>AVERAGE(M91:X91)</f>
        <v>2.2397777777777779</v>
      </c>
      <c r="K90" s="901" t="s">
        <v>682</v>
      </c>
      <c r="L90" s="911">
        <f>SUM(M90:X90)</f>
        <v>1763</v>
      </c>
      <c r="M90" s="912">
        <f>M84*$G90</f>
        <v>330</v>
      </c>
      <c r="N90" s="913">
        <f t="shared" ref="N90:X90" si="61">N84*$G90</f>
        <v>140</v>
      </c>
      <c r="O90" s="913">
        <f t="shared" si="61"/>
        <v>358</v>
      </c>
      <c r="P90" s="913">
        <f t="shared" si="61"/>
        <v>40</v>
      </c>
      <c r="Q90" s="913">
        <f t="shared" si="61"/>
        <v>150</v>
      </c>
      <c r="R90" s="913">
        <f t="shared" si="61"/>
        <v>211</v>
      </c>
      <c r="S90" s="913">
        <f t="shared" si="61"/>
        <v>100</v>
      </c>
      <c r="T90" s="913">
        <f t="shared" si="61"/>
        <v>157</v>
      </c>
      <c r="U90" s="913">
        <f t="shared" si="61"/>
        <v>6</v>
      </c>
      <c r="V90" s="913">
        <f t="shared" si="61"/>
        <v>61</v>
      </c>
      <c r="W90" s="913">
        <f t="shared" si="61"/>
        <v>205</v>
      </c>
      <c r="X90" s="914">
        <f t="shared" si="61"/>
        <v>5</v>
      </c>
    </row>
    <row r="91" spans="3:24" ht="20.100000000000001" customHeight="1">
      <c r="C91" s="899"/>
      <c r="D91" s="1276">
        <v>9</v>
      </c>
      <c r="E91" s="1276" t="s">
        <v>100</v>
      </c>
      <c r="F91" s="900" t="s">
        <v>684</v>
      </c>
      <c r="G91" s="1650"/>
      <c r="H91" s="983" t="s">
        <v>690</v>
      </c>
      <c r="I91" s="1651"/>
      <c r="J91" s="1652"/>
      <c r="K91" s="901" t="s">
        <v>688</v>
      </c>
      <c r="L91" s="911"/>
      <c r="M91" s="234">
        <f>((19000*1.16)+(4500*17.5))/45000</f>
        <v>2.2397777777777779</v>
      </c>
      <c r="N91" s="970">
        <f t="shared" ref="N91:X91" si="62">((19000*1.16)+(4500*17.5))/45000</f>
        <v>2.2397777777777779</v>
      </c>
      <c r="O91" s="970">
        <f t="shared" si="62"/>
        <v>2.2397777777777779</v>
      </c>
      <c r="P91" s="970">
        <f t="shared" si="62"/>
        <v>2.2397777777777779</v>
      </c>
      <c r="Q91" s="970">
        <f t="shared" si="62"/>
        <v>2.2397777777777779</v>
      </c>
      <c r="R91" s="970">
        <f t="shared" si="62"/>
        <v>2.2397777777777779</v>
      </c>
      <c r="S91" s="970">
        <f t="shared" si="62"/>
        <v>2.2397777777777779</v>
      </c>
      <c r="T91" s="970">
        <f t="shared" si="62"/>
        <v>2.2397777777777779</v>
      </c>
      <c r="U91" s="970">
        <f t="shared" si="62"/>
        <v>2.2397777777777779</v>
      </c>
      <c r="V91" s="970">
        <f t="shared" si="62"/>
        <v>2.2397777777777779</v>
      </c>
      <c r="W91" s="970">
        <f t="shared" si="62"/>
        <v>2.2397777777777779</v>
      </c>
      <c r="X91" s="976">
        <f t="shared" si="62"/>
        <v>2.2397777777777779</v>
      </c>
    </row>
    <row r="92" spans="3:24" ht="20.100000000000001" customHeight="1">
      <c r="C92" s="899"/>
      <c r="D92" s="1276">
        <v>9</v>
      </c>
      <c r="E92" s="1276" t="s">
        <v>100</v>
      </c>
      <c r="F92" s="900" t="s">
        <v>684</v>
      </c>
      <c r="G92" s="1650"/>
      <c r="H92" s="983" t="s">
        <v>690</v>
      </c>
      <c r="I92" s="1651"/>
      <c r="J92" s="1652"/>
      <c r="K92" s="901" t="s">
        <v>569</v>
      </c>
      <c r="L92" s="902">
        <f>SUM(M92:X92)</f>
        <v>3948.7282222222225</v>
      </c>
      <c r="M92" s="927">
        <f>(M90*M91)</f>
        <v>739.12666666666667</v>
      </c>
      <c r="N92" s="903">
        <f t="shared" ref="N92:X92" si="63">(N90*N91)</f>
        <v>313.56888888888892</v>
      </c>
      <c r="O92" s="903">
        <f t="shared" si="63"/>
        <v>801.84044444444453</v>
      </c>
      <c r="P92" s="903">
        <f t="shared" si="63"/>
        <v>89.591111111111118</v>
      </c>
      <c r="Q92" s="903">
        <f t="shared" si="63"/>
        <v>335.9666666666667</v>
      </c>
      <c r="R92" s="903">
        <f t="shared" si="63"/>
        <v>472.59311111111111</v>
      </c>
      <c r="S92" s="903">
        <f t="shared" si="63"/>
        <v>223.97777777777779</v>
      </c>
      <c r="T92" s="903">
        <f t="shared" si="63"/>
        <v>351.64511111111113</v>
      </c>
      <c r="U92" s="903">
        <f t="shared" si="63"/>
        <v>13.438666666666666</v>
      </c>
      <c r="V92" s="903">
        <f t="shared" si="63"/>
        <v>136.62644444444445</v>
      </c>
      <c r="W92" s="903">
        <f t="shared" si="63"/>
        <v>459.15444444444444</v>
      </c>
      <c r="X92" s="904">
        <f t="shared" si="63"/>
        <v>11.19888888888889</v>
      </c>
    </row>
    <row r="93" spans="3:24" ht="20.100000000000001" customHeight="1" collapsed="1">
      <c r="C93" s="899"/>
      <c r="D93" s="1276">
        <v>10</v>
      </c>
      <c r="E93" s="1276" t="s">
        <v>100</v>
      </c>
      <c r="F93" s="900" t="s">
        <v>684</v>
      </c>
      <c r="G93" s="1653">
        <f>1/20</f>
        <v>0.05</v>
      </c>
      <c r="H93" s="983" t="s">
        <v>686</v>
      </c>
      <c r="I93" s="1654">
        <f>(I84*G93)</f>
        <v>50</v>
      </c>
      <c r="J93" s="1657">
        <f>AVERAGE(M94:X94)</f>
        <v>131.07999999999996</v>
      </c>
      <c r="K93" s="926" t="s">
        <v>682</v>
      </c>
      <c r="L93" s="911">
        <f t="shared" ref="L93" si="64">SUM(M93:X93)</f>
        <v>1763</v>
      </c>
      <c r="M93" s="929">
        <f>(M84*$G93)</f>
        <v>330</v>
      </c>
      <c r="N93" s="930">
        <f t="shared" ref="N93:X93" si="65">(N84*$G93)</f>
        <v>140</v>
      </c>
      <c r="O93" s="930">
        <f t="shared" si="65"/>
        <v>358</v>
      </c>
      <c r="P93" s="930">
        <f t="shared" si="65"/>
        <v>40</v>
      </c>
      <c r="Q93" s="930">
        <f t="shared" si="65"/>
        <v>150</v>
      </c>
      <c r="R93" s="930">
        <f t="shared" si="65"/>
        <v>211</v>
      </c>
      <c r="S93" s="930">
        <f t="shared" si="65"/>
        <v>100</v>
      </c>
      <c r="T93" s="930">
        <f t="shared" si="65"/>
        <v>157</v>
      </c>
      <c r="U93" s="930">
        <f t="shared" si="65"/>
        <v>6</v>
      </c>
      <c r="V93" s="930">
        <f t="shared" si="65"/>
        <v>61</v>
      </c>
      <c r="W93" s="930">
        <f t="shared" si="65"/>
        <v>205</v>
      </c>
      <c r="X93" s="931">
        <f t="shared" si="65"/>
        <v>5</v>
      </c>
    </row>
    <row r="94" spans="3:24" ht="20.100000000000001" customHeight="1">
      <c r="C94" s="992"/>
      <c r="D94" s="1277">
        <v>10</v>
      </c>
      <c r="E94" s="1277" t="s">
        <v>100</v>
      </c>
      <c r="F94" s="993" t="s">
        <v>684</v>
      </c>
      <c r="G94" s="1617"/>
      <c r="H94" s="994" t="s">
        <v>686</v>
      </c>
      <c r="I94" s="1655"/>
      <c r="J94" s="1633"/>
      <c r="K94" s="995" t="s">
        <v>688</v>
      </c>
      <c r="L94" s="996"/>
      <c r="M94" s="970">
        <f>113*1.16</f>
        <v>131.07999999999998</v>
      </c>
      <c r="N94" s="970">
        <f t="shared" ref="N94:X94" si="66">113*1.16</f>
        <v>131.07999999999998</v>
      </c>
      <c r="O94" s="970">
        <f t="shared" si="66"/>
        <v>131.07999999999998</v>
      </c>
      <c r="P94" s="970">
        <f t="shared" si="66"/>
        <v>131.07999999999998</v>
      </c>
      <c r="Q94" s="970">
        <f t="shared" si="66"/>
        <v>131.07999999999998</v>
      </c>
      <c r="R94" s="970">
        <f t="shared" si="66"/>
        <v>131.07999999999998</v>
      </c>
      <c r="S94" s="970">
        <f t="shared" si="66"/>
        <v>131.07999999999998</v>
      </c>
      <c r="T94" s="970">
        <f t="shared" si="66"/>
        <v>131.07999999999998</v>
      </c>
      <c r="U94" s="970">
        <f t="shared" si="66"/>
        <v>131.07999999999998</v>
      </c>
      <c r="V94" s="970">
        <f t="shared" si="66"/>
        <v>131.07999999999998</v>
      </c>
      <c r="W94" s="970">
        <f t="shared" si="66"/>
        <v>131.07999999999998</v>
      </c>
      <c r="X94" s="976">
        <f t="shared" si="66"/>
        <v>131.07999999999998</v>
      </c>
    </row>
    <row r="95" spans="3:24" ht="20.100000000000001" customHeight="1" thickBot="1">
      <c r="C95" s="885"/>
      <c r="D95" s="1278">
        <v>10</v>
      </c>
      <c r="E95" s="1278" t="s">
        <v>100</v>
      </c>
      <c r="F95" s="887" t="s">
        <v>684</v>
      </c>
      <c r="G95" s="1618"/>
      <c r="H95" s="986" t="s">
        <v>686</v>
      </c>
      <c r="I95" s="1656"/>
      <c r="J95" s="1658"/>
      <c r="K95" s="937" t="s">
        <v>569</v>
      </c>
      <c r="L95" s="916">
        <f t="shared" ref="L95" si="67">SUM(M95:X95)</f>
        <v>231094.03999999998</v>
      </c>
      <c r="M95" s="938">
        <f>(M93*M94)</f>
        <v>43256.399999999994</v>
      </c>
      <c r="N95" s="917">
        <f t="shared" ref="N95:V95" si="68">(N93*N94)</f>
        <v>18351.199999999997</v>
      </c>
      <c r="O95" s="917">
        <f t="shared" si="68"/>
        <v>46926.639999999992</v>
      </c>
      <c r="P95" s="917">
        <f t="shared" si="68"/>
        <v>5243.1999999999989</v>
      </c>
      <c r="Q95" s="917">
        <f t="shared" si="68"/>
        <v>19661.999999999996</v>
      </c>
      <c r="R95" s="917">
        <f t="shared" si="68"/>
        <v>27657.879999999997</v>
      </c>
      <c r="S95" s="917">
        <f t="shared" si="68"/>
        <v>13107.999999999998</v>
      </c>
      <c r="T95" s="917">
        <f t="shared" si="68"/>
        <v>20579.559999999998</v>
      </c>
      <c r="U95" s="917">
        <f t="shared" si="68"/>
        <v>786.4799999999999</v>
      </c>
      <c r="V95" s="917">
        <f t="shared" si="68"/>
        <v>7995.8799999999992</v>
      </c>
      <c r="W95" s="917">
        <f>(W93*W94)</f>
        <v>26871.399999999998</v>
      </c>
      <c r="X95" s="918">
        <f>(X93*X94)</f>
        <v>655.39999999999986</v>
      </c>
    </row>
    <row r="96" spans="3:24" ht="20.100000000000001" customHeight="1"/>
    <row r="97" spans="3:24" ht="15.75" thickBot="1">
      <c r="F97" s="860" t="e">
        <f>(#REF!+#REF!+#REF!+#REF!)</f>
        <v>#REF!</v>
      </c>
      <c r="G97" s="860"/>
      <c r="H97" s="861"/>
      <c r="I97" s="860"/>
      <c r="J97" s="860"/>
      <c r="K97" s="102"/>
      <c r="L97" s="862">
        <f t="shared" ref="L97:X97" si="69">SUBTOTAL(9,L102:L142)</f>
        <v>261487.76822222219</v>
      </c>
      <c r="M97" s="862">
        <f t="shared" si="69"/>
        <v>48945.526666666658</v>
      </c>
      <c r="N97" s="862">
        <f t="shared" si="69"/>
        <v>20764.768888888888</v>
      </c>
      <c r="O97" s="862">
        <f t="shared" si="69"/>
        <v>53098.480444444438</v>
      </c>
      <c r="P97" s="862">
        <f t="shared" si="69"/>
        <v>5932.7911111111098</v>
      </c>
      <c r="Q97" s="862">
        <f t="shared" si="69"/>
        <v>22247.966666666664</v>
      </c>
      <c r="R97" s="862">
        <f t="shared" si="69"/>
        <v>31295.47311111111</v>
      </c>
      <c r="S97" s="862">
        <f t="shared" si="69"/>
        <v>14831.977777777776</v>
      </c>
      <c r="T97" s="862">
        <f t="shared" si="69"/>
        <v>23286.205111111107</v>
      </c>
      <c r="U97" s="862">
        <f t="shared" si="69"/>
        <v>889.91866666666658</v>
      </c>
      <c r="V97" s="862">
        <f t="shared" si="69"/>
        <v>9047.5064444444433</v>
      </c>
      <c r="W97" s="862">
        <f t="shared" si="69"/>
        <v>30405.554444444442</v>
      </c>
      <c r="X97" s="862">
        <f t="shared" si="69"/>
        <v>741.59888888888872</v>
      </c>
    </row>
    <row r="98" spans="3:24" ht="15" customHeight="1">
      <c r="C98" s="1605" t="s">
        <v>0</v>
      </c>
      <c r="D98" s="1608" t="s">
        <v>94</v>
      </c>
      <c r="E98" s="1608" t="s">
        <v>664</v>
      </c>
      <c r="F98" s="1608" t="s">
        <v>2</v>
      </c>
      <c r="G98" s="1608" t="s">
        <v>665</v>
      </c>
      <c r="H98" s="1623" t="s">
        <v>666</v>
      </c>
      <c r="I98" s="1611" t="s">
        <v>667</v>
      </c>
      <c r="J98" s="1611" t="s">
        <v>668</v>
      </c>
      <c r="K98" s="1614" t="s">
        <v>687</v>
      </c>
      <c r="L98" s="1614" t="s">
        <v>669</v>
      </c>
      <c r="M98" s="863" t="s">
        <v>670</v>
      </c>
      <c r="N98" s="864" t="s">
        <v>671</v>
      </c>
      <c r="O98" s="863" t="s">
        <v>672</v>
      </c>
      <c r="P98" s="864" t="s">
        <v>673</v>
      </c>
      <c r="Q98" s="863" t="s">
        <v>674</v>
      </c>
      <c r="R98" s="864" t="s">
        <v>675</v>
      </c>
      <c r="S98" s="863" t="s">
        <v>676</v>
      </c>
      <c r="T98" s="864" t="s">
        <v>677</v>
      </c>
      <c r="U98" s="863" t="s">
        <v>678</v>
      </c>
      <c r="V98" s="864" t="s">
        <v>679</v>
      </c>
      <c r="W98" s="863" t="s">
        <v>680</v>
      </c>
      <c r="X98" s="865" t="s">
        <v>681</v>
      </c>
    </row>
    <row r="99" spans="3:24" ht="16.5" customHeight="1">
      <c r="C99" s="1606"/>
      <c r="D99" s="1609"/>
      <c r="E99" s="1609"/>
      <c r="F99" s="1609"/>
      <c r="G99" s="1609"/>
      <c r="H99" s="1624"/>
      <c r="I99" s="1612"/>
      <c r="J99" s="1612"/>
      <c r="K99" s="1615"/>
      <c r="L99" s="1615"/>
      <c r="M99" s="866">
        <f t="shared" ref="M99:X99" si="70">WEEKNUM(M100,21)</f>
        <v>1</v>
      </c>
      <c r="N99" s="867">
        <f t="shared" si="70"/>
        <v>5</v>
      </c>
      <c r="O99" s="866">
        <f t="shared" si="70"/>
        <v>9</v>
      </c>
      <c r="P99" s="867">
        <f t="shared" si="70"/>
        <v>14</v>
      </c>
      <c r="Q99" s="866">
        <f t="shared" si="70"/>
        <v>18</v>
      </c>
      <c r="R99" s="867">
        <f t="shared" si="70"/>
        <v>22</v>
      </c>
      <c r="S99" s="866">
        <f t="shared" si="70"/>
        <v>27</v>
      </c>
      <c r="T99" s="867">
        <f t="shared" si="70"/>
        <v>31</v>
      </c>
      <c r="U99" s="866">
        <f t="shared" si="70"/>
        <v>35</v>
      </c>
      <c r="V99" s="867">
        <f t="shared" si="70"/>
        <v>40</v>
      </c>
      <c r="W99" s="866">
        <f t="shared" si="70"/>
        <v>44</v>
      </c>
      <c r="X99" s="868">
        <f t="shared" si="70"/>
        <v>48</v>
      </c>
    </row>
    <row r="100" spans="3:24" ht="15.75" thickBot="1">
      <c r="C100" s="1607"/>
      <c r="D100" s="1610"/>
      <c r="E100" s="1610"/>
      <c r="F100" s="1610"/>
      <c r="G100" s="1610"/>
      <c r="H100" s="1625"/>
      <c r="I100" s="1613"/>
      <c r="J100" s="1613"/>
      <c r="K100" s="1616"/>
      <c r="L100" s="1616"/>
      <c r="M100" s="869">
        <v>45292</v>
      </c>
      <c r="N100" s="870">
        <v>45323</v>
      </c>
      <c r="O100" s="869">
        <v>45352</v>
      </c>
      <c r="P100" s="870">
        <v>45383</v>
      </c>
      <c r="Q100" s="869">
        <v>45413</v>
      </c>
      <c r="R100" s="870">
        <v>45444</v>
      </c>
      <c r="S100" s="869">
        <v>45474</v>
      </c>
      <c r="T100" s="870">
        <v>45505</v>
      </c>
      <c r="U100" s="869">
        <v>45536</v>
      </c>
      <c r="V100" s="870">
        <v>45566</v>
      </c>
      <c r="W100" s="869">
        <v>45597</v>
      </c>
      <c r="X100" s="871">
        <v>45627</v>
      </c>
    </row>
    <row r="102" spans="3:24">
      <c r="H102" s="1210" t="s">
        <v>689</v>
      </c>
      <c r="J102" s="955">
        <v>15</v>
      </c>
      <c r="K102" s="900" t="s">
        <v>569</v>
      </c>
      <c r="L102" s="902">
        <f t="shared" ref="L102:L104" si="71">SUM(M102:X102)</f>
        <v>26445</v>
      </c>
      <c r="M102" s="927">
        <f>(M89)</f>
        <v>4950</v>
      </c>
      <c r="N102" s="903">
        <f t="shared" ref="N102:X102" si="72">(N89)</f>
        <v>2100</v>
      </c>
      <c r="O102" s="903">
        <f t="shared" si="72"/>
        <v>5370</v>
      </c>
      <c r="P102" s="903">
        <f t="shared" si="72"/>
        <v>600</v>
      </c>
      <c r="Q102" s="903">
        <f t="shared" si="72"/>
        <v>2250</v>
      </c>
      <c r="R102" s="903">
        <f t="shared" si="72"/>
        <v>3165</v>
      </c>
      <c r="S102" s="903">
        <f t="shared" si="72"/>
        <v>1500</v>
      </c>
      <c r="T102" s="903">
        <f t="shared" si="72"/>
        <v>2355</v>
      </c>
      <c r="U102" s="903">
        <f t="shared" si="72"/>
        <v>90</v>
      </c>
      <c r="V102" s="903">
        <f t="shared" si="72"/>
        <v>915</v>
      </c>
      <c r="W102" s="903">
        <f t="shared" si="72"/>
        <v>3075</v>
      </c>
      <c r="X102" s="904">
        <f t="shared" si="72"/>
        <v>75</v>
      </c>
    </row>
    <row r="103" spans="3:24">
      <c r="H103" s="1210" t="s">
        <v>690</v>
      </c>
      <c r="J103" s="955">
        <v>2.2397777777777779</v>
      </c>
      <c r="K103" s="900" t="s">
        <v>569</v>
      </c>
      <c r="L103" s="902">
        <f t="shared" si="71"/>
        <v>3948.7282222222225</v>
      </c>
      <c r="M103" s="927">
        <f>(M92)</f>
        <v>739.12666666666667</v>
      </c>
      <c r="N103" s="903">
        <f t="shared" ref="N103:X103" si="73">(N92)</f>
        <v>313.56888888888892</v>
      </c>
      <c r="O103" s="903">
        <f t="shared" si="73"/>
        <v>801.84044444444453</v>
      </c>
      <c r="P103" s="903">
        <f t="shared" si="73"/>
        <v>89.591111111111118</v>
      </c>
      <c r="Q103" s="903">
        <f t="shared" si="73"/>
        <v>335.9666666666667</v>
      </c>
      <c r="R103" s="903">
        <f t="shared" si="73"/>
        <v>472.59311111111111</v>
      </c>
      <c r="S103" s="903">
        <f t="shared" si="73"/>
        <v>223.97777777777779</v>
      </c>
      <c r="T103" s="903">
        <f t="shared" si="73"/>
        <v>351.64511111111113</v>
      </c>
      <c r="U103" s="903">
        <f t="shared" si="73"/>
        <v>13.438666666666666</v>
      </c>
      <c r="V103" s="903">
        <f t="shared" si="73"/>
        <v>136.62644444444445</v>
      </c>
      <c r="W103" s="903">
        <f t="shared" si="73"/>
        <v>459.15444444444444</v>
      </c>
      <c r="X103" s="904">
        <f t="shared" si="73"/>
        <v>11.19888888888889</v>
      </c>
    </row>
    <row r="104" spans="3:24">
      <c r="H104" s="101" t="s">
        <v>686</v>
      </c>
      <c r="J104" s="955">
        <v>131.07999999999996</v>
      </c>
      <c r="K104" s="900" t="s">
        <v>569</v>
      </c>
      <c r="L104" s="902">
        <f t="shared" si="71"/>
        <v>231094.03999999998</v>
      </c>
      <c r="M104" s="927">
        <f>(M95)</f>
        <v>43256.399999999994</v>
      </c>
      <c r="N104" s="903">
        <f t="shared" ref="N104:X104" si="74">(N95)</f>
        <v>18351.199999999997</v>
      </c>
      <c r="O104" s="903">
        <f t="shared" si="74"/>
        <v>46926.639999999992</v>
      </c>
      <c r="P104" s="903">
        <f t="shared" si="74"/>
        <v>5243.1999999999989</v>
      </c>
      <c r="Q104" s="903">
        <f t="shared" si="74"/>
        <v>19661.999999999996</v>
      </c>
      <c r="R104" s="903">
        <f t="shared" si="74"/>
        <v>27657.879999999997</v>
      </c>
      <c r="S104" s="903">
        <f t="shared" si="74"/>
        <v>13107.999999999998</v>
      </c>
      <c r="T104" s="903">
        <f t="shared" si="74"/>
        <v>20579.559999999998</v>
      </c>
      <c r="U104" s="903">
        <f t="shared" si="74"/>
        <v>786.4799999999999</v>
      </c>
      <c r="V104" s="903">
        <f t="shared" si="74"/>
        <v>7995.8799999999992</v>
      </c>
      <c r="W104" s="903">
        <f t="shared" si="74"/>
        <v>26871.399999999998</v>
      </c>
      <c r="X104" s="904">
        <f t="shared" si="74"/>
        <v>655.39999999999986</v>
      </c>
    </row>
    <row r="105" spans="3:24" ht="18" customHeight="1"/>
    <row r="106" spans="3:24" ht="18" customHeight="1"/>
    <row r="107" spans="3:24" ht="18" customHeight="1"/>
    <row r="108" spans="3:24" ht="18" customHeight="1"/>
    <row r="109" spans="3:24" ht="18" customHeight="1"/>
    <row r="110" spans="3:24" ht="18" customHeight="1"/>
    <row r="111" spans="3:24" ht="18" customHeight="1"/>
    <row r="112" spans="3:24"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sheetData>
  <autoFilter ref="C19:X62" xr:uid="{FC50114A-687D-4FBE-8779-12EAB3718FC1}">
    <filterColumn colId="1">
      <filters>
        <filter val="1"/>
        <filter val="2"/>
        <filter val="3"/>
        <filter val="4"/>
        <filter val="5"/>
        <filter val="6"/>
      </filters>
    </filterColumn>
    <filterColumn colId="8">
      <filters>
        <filter val="IMPORTE"/>
      </filters>
    </filterColumn>
  </autoFilter>
  <mergeCells count="99">
    <mergeCell ref="J98:J100"/>
    <mergeCell ref="K98:K100"/>
    <mergeCell ref="L98:L100"/>
    <mergeCell ref="G93:G95"/>
    <mergeCell ref="I93:I95"/>
    <mergeCell ref="J93:J95"/>
    <mergeCell ref="H98:H100"/>
    <mergeCell ref="I98:I100"/>
    <mergeCell ref="C98:C100"/>
    <mergeCell ref="D98:D100"/>
    <mergeCell ref="E98:E100"/>
    <mergeCell ref="F98:F100"/>
    <mergeCell ref="G98:G100"/>
    <mergeCell ref="G87:G89"/>
    <mergeCell ref="I87:I89"/>
    <mergeCell ref="J87:J89"/>
    <mergeCell ref="G90:G92"/>
    <mergeCell ref="I90:I92"/>
    <mergeCell ref="J90:J92"/>
    <mergeCell ref="I80:I82"/>
    <mergeCell ref="J80:J82"/>
    <mergeCell ref="K80:K82"/>
    <mergeCell ref="L80:L82"/>
    <mergeCell ref="G84:G86"/>
    <mergeCell ref="H84:H86"/>
    <mergeCell ref="I84:I86"/>
    <mergeCell ref="J84:J86"/>
    <mergeCell ref="I65:I67"/>
    <mergeCell ref="J65:J67"/>
    <mergeCell ref="K65:K67"/>
    <mergeCell ref="L65:L67"/>
    <mergeCell ref="C80:C82"/>
    <mergeCell ref="D80:D82"/>
    <mergeCell ref="E80:E82"/>
    <mergeCell ref="F80:F82"/>
    <mergeCell ref="G80:G82"/>
    <mergeCell ref="H80:H82"/>
    <mergeCell ref="C65:C67"/>
    <mergeCell ref="D65:D67"/>
    <mergeCell ref="E65:E67"/>
    <mergeCell ref="F65:F67"/>
    <mergeCell ref="G65:G67"/>
    <mergeCell ref="H65:H67"/>
    <mergeCell ref="G57:G59"/>
    <mergeCell ref="H57:H59"/>
    <mergeCell ref="I57:I59"/>
    <mergeCell ref="J57:J59"/>
    <mergeCell ref="G60:G62"/>
    <mergeCell ref="I60:I62"/>
    <mergeCell ref="J60:J62"/>
    <mergeCell ref="G51:G53"/>
    <mergeCell ref="H51:H53"/>
    <mergeCell ref="I51:I53"/>
    <mergeCell ref="J51:J53"/>
    <mergeCell ref="G54:G56"/>
    <mergeCell ref="I54:I56"/>
    <mergeCell ref="J54:J56"/>
    <mergeCell ref="G45:G47"/>
    <mergeCell ref="I45:I47"/>
    <mergeCell ref="J45:J47"/>
    <mergeCell ref="G48:G50"/>
    <mergeCell ref="I48:I50"/>
    <mergeCell ref="J48:J50"/>
    <mergeCell ref="G42:G44"/>
    <mergeCell ref="H42:H44"/>
    <mergeCell ref="I42:I44"/>
    <mergeCell ref="J42:J44"/>
    <mergeCell ref="G35:G37"/>
    <mergeCell ref="I35:I37"/>
    <mergeCell ref="J35:J37"/>
    <mergeCell ref="G38:G40"/>
    <mergeCell ref="I38:I40"/>
    <mergeCell ref="J38:J40"/>
    <mergeCell ref="G29:G31"/>
    <mergeCell ref="I29:I31"/>
    <mergeCell ref="J29:J31"/>
    <mergeCell ref="G32:G34"/>
    <mergeCell ref="I32:I34"/>
    <mergeCell ref="J32:J34"/>
    <mergeCell ref="G23:G25"/>
    <mergeCell ref="I23:I25"/>
    <mergeCell ref="J23:J25"/>
    <mergeCell ref="G26:G28"/>
    <mergeCell ref="I26:I28"/>
    <mergeCell ref="J26:J28"/>
    <mergeCell ref="I16:I18"/>
    <mergeCell ref="J16:J18"/>
    <mergeCell ref="K16:K18"/>
    <mergeCell ref="L16:L18"/>
    <mergeCell ref="G20:G22"/>
    <mergeCell ref="H20:H22"/>
    <mergeCell ref="I20:I22"/>
    <mergeCell ref="J20:J22"/>
    <mergeCell ref="H16:H18"/>
    <mergeCell ref="C16:C18"/>
    <mergeCell ref="D16:D18"/>
    <mergeCell ref="E16:E18"/>
    <mergeCell ref="F16:F18"/>
    <mergeCell ref="G16:G18"/>
  </mergeCells>
  <conditionalFormatting sqref="L28:X29 L27:W27 L30:W30 L20:X26 L31:X41">
    <cfRule type="cellIs" dxfId="321" priority="48" operator="lessThanOrEqual">
      <formula>0</formula>
    </cfRule>
  </conditionalFormatting>
  <conditionalFormatting sqref="L71">
    <cfRule type="cellIs" dxfId="320" priority="39" operator="lessThanOrEqual">
      <formula>0</formula>
    </cfRule>
  </conditionalFormatting>
  <conditionalFormatting sqref="M71:X71">
    <cfRule type="cellIs" dxfId="319" priority="38" operator="lessThanOrEqual">
      <formula>0</formula>
    </cfRule>
  </conditionalFormatting>
  <conditionalFormatting sqref="M74:X74">
    <cfRule type="cellIs" dxfId="318" priority="32" operator="lessThanOrEqual">
      <formula>0</formula>
    </cfRule>
  </conditionalFormatting>
  <conditionalFormatting sqref="M76:X76">
    <cfRule type="cellIs" dxfId="317" priority="28" operator="lessThanOrEqual">
      <formula>0</formula>
    </cfRule>
  </conditionalFormatting>
  <conditionalFormatting sqref="M77:X77">
    <cfRule type="cellIs" dxfId="316" priority="26" operator="lessThanOrEqual">
      <formula>0</formula>
    </cfRule>
  </conditionalFormatting>
  <conditionalFormatting sqref="L69">
    <cfRule type="cellIs" dxfId="315" priority="45" operator="lessThanOrEqual">
      <formula>0</formula>
    </cfRule>
  </conditionalFormatting>
  <conditionalFormatting sqref="M69:X69">
    <cfRule type="cellIs" dxfId="314" priority="44" operator="lessThanOrEqual">
      <formula>0</formula>
    </cfRule>
  </conditionalFormatting>
  <conditionalFormatting sqref="L70">
    <cfRule type="cellIs" dxfId="313" priority="43" operator="lessThanOrEqual">
      <formula>0</formula>
    </cfRule>
  </conditionalFormatting>
  <conditionalFormatting sqref="M70:X70">
    <cfRule type="cellIs" dxfId="312" priority="42" operator="lessThanOrEqual">
      <formula>0</formula>
    </cfRule>
  </conditionalFormatting>
  <conditionalFormatting sqref="L73">
    <cfRule type="cellIs" dxfId="311" priority="35" operator="lessThanOrEqual">
      <formula>0</formula>
    </cfRule>
  </conditionalFormatting>
  <conditionalFormatting sqref="M73:X73">
    <cfRule type="cellIs" dxfId="310" priority="34" operator="lessThanOrEqual">
      <formula>0</formula>
    </cfRule>
  </conditionalFormatting>
  <conditionalFormatting sqref="L72">
    <cfRule type="cellIs" dxfId="309" priority="37" operator="lessThanOrEqual">
      <formula>0</formula>
    </cfRule>
  </conditionalFormatting>
  <conditionalFormatting sqref="M72:X72">
    <cfRule type="cellIs" dxfId="308" priority="36" operator="lessThanOrEqual">
      <formula>0</formula>
    </cfRule>
  </conditionalFormatting>
  <conditionalFormatting sqref="L74">
    <cfRule type="cellIs" dxfId="307" priority="33" operator="lessThanOrEqual">
      <formula>0</formula>
    </cfRule>
  </conditionalFormatting>
  <conditionalFormatting sqref="L75">
    <cfRule type="cellIs" dxfId="306" priority="31" operator="lessThanOrEqual">
      <formula>0</formula>
    </cfRule>
  </conditionalFormatting>
  <conditionalFormatting sqref="M75:X75">
    <cfRule type="cellIs" dxfId="305" priority="30" operator="lessThanOrEqual">
      <formula>0</formula>
    </cfRule>
  </conditionalFormatting>
  <conditionalFormatting sqref="L76">
    <cfRule type="cellIs" dxfId="304" priority="29" operator="lessThanOrEqual">
      <formula>0</formula>
    </cfRule>
  </conditionalFormatting>
  <conditionalFormatting sqref="L77">
    <cfRule type="cellIs" dxfId="303" priority="27" operator="lessThanOrEqual">
      <formula>0</formula>
    </cfRule>
  </conditionalFormatting>
  <conditionalFormatting sqref="X27">
    <cfRule type="cellIs" dxfId="302" priority="25" operator="lessThanOrEqual">
      <formula>0</formula>
    </cfRule>
  </conditionalFormatting>
  <conditionalFormatting sqref="X30">
    <cfRule type="cellIs" dxfId="301" priority="24" operator="lessThanOrEqual">
      <formula>0</formula>
    </cfRule>
  </conditionalFormatting>
  <conditionalFormatting sqref="L84:X86">
    <cfRule type="cellIs" dxfId="300" priority="23" operator="lessThanOrEqual">
      <formula>0</formula>
    </cfRule>
  </conditionalFormatting>
  <conditionalFormatting sqref="L104">
    <cfRule type="cellIs" dxfId="299" priority="18" operator="lessThanOrEqual">
      <formula>0</formula>
    </cfRule>
  </conditionalFormatting>
  <conditionalFormatting sqref="M104:X104">
    <cfRule type="cellIs" dxfId="298" priority="17" operator="lessThanOrEqual">
      <formula>0</formula>
    </cfRule>
  </conditionalFormatting>
  <conditionalFormatting sqref="L102">
    <cfRule type="cellIs" dxfId="297" priority="22" operator="lessThanOrEqual">
      <formula>0</formula>
    </cfRule>
  </conditionalFormatting>
  <conditionalFormatting sqref="M102:X102">
    <cfRule type="cellIs" dxfId="296" priority="21" operator="lessThanOrEqual">
      <formula>0</formula>
    </cfRule>
  </conditionalFormatting>
  <conditionalFormatting sqref="L103">
    <cfRule type="cellIs" dxfId="295" priority="20" operator="lessThanOrEqual">
      <formula>0</formula>
    </cfRule>
  </conditionalFormatting>
  <conditionalFormatting sqref="M103:X103">
    <cfRule type="cellIs" dxfId="294" priority="19" operator="lessThanOrEqual">
      <formula>0</formula>
    </cfRule>
  </conditionalFormatting>
  <conditionalFormatting sqref="L51:X56">
    <cfRule type="cellIs" dxfId="293" priority="11" operator="lessThanOrEqual">
      <formula>0</formula>
    </cfRule>
  </conditionalFormatting>
  <conditionalFormatting sqref="L50:X50 L49:W49 L42:X48">
    <cfRule type="cellIs" dxfId="292" priority="13" operator="lessThanOrEqual">
      <formula>0</formula>
    </cfRule>
  </conditionalFormatting>
  <conditionalFormatting sqref="X49">
    <cfRule type="cellIs" dxfId="291" priority="12" operator="lessThanOrEqual">
      <formula>0</formula>
    </cfRule>
  </conditionalFormatting>
  <conditionalFormatting sqref="M92:X92 N91:X91">
    <cfRule type="cellIs" dxfId="290" priority="1" operator="lessThanOrEqual">
      <formula>0</formula>
    </cfRule>
  </conditionalFormatting>
  <conditionalFormatting sqref="L57:X62">
    <cfRule type="cellIs" dxfId="289" priority="10" operator="lessThanOrEqual">
      <formula>0</formula>
    </cfRule>
  </conditionalFormatting>
  <conditionalFormatting sqref="L91:L92 L90:X90">
    <cfRule type="cellIs" dxfId="288" priority="2" operator="lessThanOrEqual">
      <formula>0</formula>
    </cfRule>
  </conditionalFormatting>
  <conditionalFormatting sqref="M95:X95">
    <cfRule type="cellIs" dxfId="287" priority="9" operator="lessThanOrEqual">
      <formula>0</formula>
    </cfRule>
  </conditionalFormatting>
  <conditionalFormatting sqref="L93:X93 L94:L95">
    <cfRule type="cellIs" dxfId="286" priority="8" operator="lessThanOrEqual">
      <formula>0</formula>
    </cfRule>
  </conditionalFormatting>
  <conditionalFormatting sqref="N94:X94">
    <cfRule type="cellIs" dxfId="285" priority="7" operator="lessThanOrEqual">
      <formula>0</formula>
    </cfRule>
  </conditionalFormatting>
  <conditionalFormatting sqref="L88:L89 L87:X87">
    <cfRule type="cellIs" dxfId="284" priority="6" operator="lessThanOrEqual">
      <formula>0</formula>
    </cfRule>
  </conditionalFormatting>
  <conditionalFormatting sqref="M89:X89">
    <cfRule type="cellIs" dxfId="283" priority="5" operator="lessThanOrEqual">
      <formula>0</formula>
    </cfRule>
  </conditionalFormatting>
  <conditionalFormatting sqref="M94">
    <cfRule type="cellIs" dxfId="282" priority="4" operator="lessThanOrEqual">
      <formula>0</formula>
    </cfRule>
  </conditionalFormatting>
  <conditionalFormatting sqref="M88:X88">
    <cfRule type="cellIs" dxfId="281" priority="3" operator="lessThanOrEqual">
      <formula>0</formula>
    </cfRule>
  </conditionalFormatting>
  <printOptions horizontalCentered="1"/>
  <pageMargins left="0.70866141732283472" right="0.70866141732283472" top="0.74803149606299213" bottom="0.74803149606299213" header="0" footer="0"/>
  <pageSetup paperSize="119" scale="89" fitToHeight="2"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E0EE6-E8E3-4FEB-A3ED-39B55EA9E511}">
  <dimension ref="B2:X232"/>
  <sheetViews>
    <sheetView topLeftCell="A28" workbookViewId="0">
      <selection activeCell="J16" sqref="J16:J18"/>
    </sheetView>
  </sheetViews>
  <sheetFormatPr baseColWidth="10" defaultColWidth="14.42578125" defaultRowHeight="15" customHeight="1"/>
  <cols>
    <col min="1" max="1" width="4.140625" style="99" customWidth="1"/>
    <col min="2" max="2" width="4.140625" style="99" hidden="1" customWidth="1"/>
    <col min="3" max="3" width="3" style="99" customWidth="1"/>
    <col min="4" max="4" width="3.28515625" style="99" customWidth="1"/>
    <col min="5" max="5" width="3.5703125" style="99" customWidth="1"/>
    <col min="6" max="6" width="16.140625" style="97" customWidth="1"/>
    <col min="7" max="7" width="8" style="97" customWidth="1"/>
    <col min="8" max="8" width="20" style="196" customWidth="1"/>
    <col min="9" max="9" width="14" style="97" customWidth="1"/>
    <col min="10" max="10" width="18.42578125" style="97" customWidth="1"/>
    <col min="11" max="11" width="12.85546875" style="97" customWidth="1"/>
    <col min="12" max="12" width="20.28515625" style="97" customWidth="1"/>
    <col min="13" max="13" width="18.42578125" style="99" customWidth="1"/>
    <col min="14" max="16" width="16.28515625" style="99" bestFit="1" customWidth="1"/>
    <col min="17" max="17" width="17" style="99" bestFit="1" customWidth="1"/>
    <col min="18" max="18" width="16.28515625" style="99" bestFit="1" customWidth="1"/>
    <col min="19" max="19" width="18.140625" style="99" customWidth="1"/>
    <col min="20" max="24" width="16.28515625" style="99" bestFit="1" customWidth="1"/>
    <col min="25" max="16384" width="14.42578125" style="99"/>
  </cols>
  <sheetData>
    <row r="2" spans="3:24" ht="15" customHeight="1">
      <c r="J2" s="1211" t="s">
        <v>116</v>
      </c>
      <c r="K2" s="97" t="s">
        <v>816</v>
      </c>
      <c r="L2" s="1143">
        <f t="shared" ref="L2:L13" si="0">SUM(M2:X2)</f>
        <v>93460</v>
      </c>
      <c r="M2" s="1144"/>
      <c r="N2" s="1144"/>
      <c r="O2" s="1144"/>
      <c r="P2" s="1144"/>
      <c r="Q2" s="1144">
        <v>8000</v>
      </c>
      <c r="R2" s="1144">
        <v>44580</v>
      </c>
      <c r="S2" s="1144">
        <v>14020</v>
      </c>
      <c r="T2" s="1144">
        <v>12860</v>
      </c>
      <c r="U2" s="1145"/>
      <c r="V2" s="1145">
        <v>12320</v>
      </c>
      <c r="W2" s="1144"/>
      <c r="X2" s="1144">
        <v>1680</v>
      </c>
    </row>
    <row r="3" spans="3:24" ht="15" customHeight="1">
      <c r="J3" s="1211" t="s">
        <v>116</v>
      </c>
      <c r="K3" s="97" t="s">
        <v>815</v>
      </c>
      <c r="L3" s="1143">
        <f t="shared" si="0"/>
        <v>94300</v>
      </c>
      <c r="M3" s="1144"/>
      <c r="N3" s="1144"/>
      <c r="P3" s="1144"/>
      <c r="Q3" s="1144">
        <v>8000</v>
      </c>
      <c r="R3" s="1144">
        <v>44580</v>
      </c>
      <c r="S3" s="1144">
        <v>14020</v>
      </c>
      <c r="T3" s="1144">
        <v>12860</v>
      </c>
      <c r="U3" s="1145">
        <v>800</v>
      </c>
      <c r="V3" s="1145">
        <v>12320</v>
      </c>
      <c r="W3" s="1144">
        <v>40</v>
      </c>
      <c r="X3" s="1144">
        <v>1680</v>
      </c>
    </row>
    <row r="4" spans="3:24" ht="15" customHeight="1">
      <c r="J4" s="1211" t="s">
        <v>115</v>
      </c>
      <c r="K4" s="97" t="s">
        <v>816</v>
      </c>
      <c r="L4" s="1143">
        <f t="shared" si="0"/>
        <v>708140</v>
      </c>
      <c r="M4" s="1144">
        <v>79430</v>
      </c>
      <c r="N4" s="1144"/>
      <c r="O4" s="1144">
        <v>44090</v>
      </c>
      <c r="P4" s="1144"/>
      <c r="Q4" s="1144">
        <v>64090</v>
      </c>
      <c r="R4" s="1144">
        <v>190840</v>
      </c>
      <c r="S4" s="1144">
        <v>68820</v>
      </c>
      <c r="T4" s="1144">
        <v>22740</v>
      </c>
      <c r="U4" s="1145">
        <v>32570</v>
      </c>
      <c r="V4" s="1145">
        <v>34690</v>
      </c>
      <c r="W4" s="1144">
        <v>29400</v>
      </c>
      <c r="X4" s="1144">
        <v>141470</v>
      </c>
    </row>
    <row r="5" spans="3:24" ht="15" customHeight="1">
      <c r="J5" s="1211" t="s">
        <v>115</v>
      </c>
      <c r="K5" s="97" t="s">
        <v>815</v>
      </c>
      <c r="L5" s="1143">
        <f t="shared" si="0"/>
        <v>708030</v>
      </c>
      <c r="M5" s="1144">
        <v>79430</v>
      </c>
      <c r="N5" s="1144"/>
      <c r="O5" s="99">
        <v>44090</v>
      </c>
      <c r="P5" s="1144"/>
      <c r="Q5" s="1144">
        <v>64090</v>
      </c>
      <c r="R5" s="1144">
        <v>190840</v>
      </c>
      <c r="S5" s="1144">
        <v>68820</v>
      </c>
      <c r="T5" s="1144">
        <v>22740</v>
      </c>
      <c r="U5" s="1145">
        <v>32570</v>
      </c>
      <c r="V5" s="1145">
        <v>34690</v>
      </c>
      <c r="W5" s="1144">
        <v>29290</v>
      </c>
      <c r="X5" s="1144">
        <v>141470</v>
      </c>
    </row>
    <row r="6" spans="3:24" ht="15" customHeight="1">
      <c r="J6" s="1211" t="s">
        <v>70</v>
      </c>
      <c r="K6" s="97" t="s">
        <v>816</v>
      </c>
      <c r="L6" s="1143">
        <f t="shared" si="0"/>
        <v>157000</v>
      </c>
      <c r="M6" s="1144"/>
      <c r="N6" s="1144"/>
      <c r="O6" s="1144">
        <v>48140</v>
      </c>
      <c r="P6" s="1144">
        <v>55500</v>
      </c>
      <c r="Q6" s="1144">
        <v>44000</v>
      </c>
      <c r="R6" s="1144">
        <v>9360</v>
      </c>
      <c r="S6" s="1144"/>
      <c r="T6" s="1144"/>
      <c r="U6" s="1145"/>
      <c r="V6" s="1145"/>
      <c r="W6" s="1144"/>
      <c r="X6" s="1144"/>
    </row>
    <row r="7" spans="3:24" ht="15" customHeight="1">
      <c r="J7" s="1211" t="s">
        <v>70</v>
      </c>
      <c r="K7" s="97" t="s">
        <v>815</v>
      </c>
      <c r="L7" s="1143">
        <f t="shared" si="0"/>
        <v>157000</v>
      </c>
      <c r="M7" s="1144"/>
      <c r="N7" s="1144"/>
      <c r="O7" s="1144">
        <v>48140</v>
      </c>
      <c r="P7" s="1144">
        <v>55500</v>
      </c>
      <c r="Q7" s="1144">
        <v>44000</v>
      </c>
      <c r="R7" s="1144">
        <v>9360</v>
      </c>
      <c r="S7" s="1144"/>
      <c r="T7" s="1144"/>
      <c r="U7" s="1145"/>
      <c r="V7" s="1145"/>
      <c r="W7" s="1144"/>
      <c r="X7" s="1144"/>
    </row>
    <row r="8" spans="3:24" ht="15" customHeight="1">
      <c r="J8" s="1211" t="s">
        <v>117</v>
      </c>
      <c r="K8" s="97" t="s">
        <v>816</v>
      </c>
      <c r="L8" s="1143">
        <f t="shared" si="0"/>
        <v>10282.5</v>
      </c>
      <c r="M8" s="1144">
        <v>1125</v>
      </c>
      <c r="N8" s="1144">
        <v>1162.5</v>
      </c>
      <c r="O8" s="1144">
        <v>2250</v>
      </c>
      <c r="P8" s="1144">
        <v>750</v>
      </c>
      <c r="Q8" s="1144">
        <v>750</v>
      </c>
      <c r="R8" s="1144">
        <v>2250</v>
      </c>
      <c r="S8" s="1144">
        <v>1125</v>
      </c>
      <c r="T8" s="1144">
        <v>750</v>
      </c>
      <c r="U8" s="1145"/>
      <c r="V8" s="1145">
        <v>80</v>
      </c>
      <c r="W8" s="1144">
        <v>20</v>
      </c>
      <c r="X8" s="1144">
        <v>20</v>
      </c>
    </row>
    <row r="9" spans="3:24" ht="15" customHeight="1">
      <c r="J9" s="1211" t="s">
        <v>117</v>
      </c>
      <c r="K9" s="97" t="s">
        <v>816</v>
      </c>
      <c r="L9" s="1143">
        <f t="shared" si="0"/>
        <v>238300</v>
      </c>
      <c r="M9" s="1144">
        <v>800</v>
      </c>
      <c r="N9" s="1144">
        <v>400</v>
      </c>
      <c r="O9" s="1144">
        <v>8000</v>
      </c>
      <c r="P9" s="1144">
        <v>10000</v>
      </c>
      <c r="Q9" s="1144">
        <v>56000</v>
      </c>
      <c r="R9" s="1144">
        <v>30000</v>
      </c>
      <c r="S9" s="1144">
        <v>41160</v>
      </c>
      <c r="T9" s="1144">
        <v>35500</v>
      </c>
      <c r="U9" s="1145">
        <v>40400</v>
      </c>
      <c r="V9" s="1145">
        <v>15800</v>
      </c>
      <c r="W9" s="1144"/>
      <c r="X9" s="1144">
        <v>240</v>
      </c>
    </row>
    <row r="10" spans="3:24" ht="15" customHeight="1">
      <c r="J10" s="1211" t="s">
        <v>117</v>
      </c>
      <c r="K10" s="97" t="s">
        <v>815</v>
      </c>
      <c r="L10" s="1143">
        <f t="shared" si="0"/>
        <v>241004.375</v>
      </c>
      <c r="M10" s="1144">
        <v>1906.25</v>
      </c>
      <c r="N10" s="1144">
        <v>1543.125</v>
      </c>
      <c r="O10" s="1144">
        <v>8000</v>
      </c>
      <c r="P10" s="1144">
        <v>10000</v>
      </c>
      <c r="Q10" s="1144">
        <v>56000</v>
      </c>
      <c r="R10" s="1144">
        <v>30000</v>
      </c>
      <c r="S10" s="1144">
        <v>41535</v>
      </c>
      <c r="T10" s="1144">
        <v>35500</v>
      </c>
      <c r="U10" s="1145">
        <v>40400</v>
      </c>
      <c r="V10" s="1145">
        <v>15880</v>
      </c>
      <c r="W10" s="1144"/>
      <c r="X10" s="1144">
        <v>240</v>
      </c>
    </row>
    <row r="11" spans="3:24" ht="15" customHeight="1">
      <c r="J11" s="1211" t="s">
        <v>684</v>
      </c>
      <c r="K11" s="97" t="s">
        <v>816</v>
      </c>
      <c r="L11" s="97">
        <f t="shared" si="0"/>
        <v>36560</v>
      </c>
      <c r="M11" s="98">
        <v>6600</v>
      </c>
      <c r="N11" s="98">
        <v>2800</v>
      </c>
      <c r="O11" s="98">
        <v>7160</v>
      </c>
      <c r="P11" s="98">
        <v>800</v>
      </c>
      <c r="Q11" s="98">
        <v>3000</v>
      </c>
      <c r="R11" s="98">
        <v>4220</v>
      </c>
      <c r="S11" s="98">
        <v>2000</v>
      </c>
      <c r="T11" s="98">
        <v>3140</v>
      </c>
      <c r="U11" s="98">
        <v>120</v>
      </c>
      <c r="V11" s="98">
        <v>1220</v>
      </c>
      <c r="W11" s="98">
        <v>4480</v>
      </c>
      <c r="X11" s="98">
        <v>1020</v>
      </c>
    </row>
    <row r="12" spans="3:24" ht="15" customHeight="1">
      <c r="J12" s="1211" t="s">
        <v>684</v>
      </c>
      <c r="K12" s="97" t="s">
        <v>814</v>
      </c>
      <c r="L12" s="97">
        <f t="shared" si="0"/>
        <v>20560</v>
      </c>
      <c r="M12" s="98">
        <v>5600</v>
      </c>
      <c r="N12" s="98">
        <v>3600</v>
      </c>
      <c r="O12" s="98">
        <v>2440</v>
      </c>
      <c r="P12" s="98">
        <v>780</v>
      </c>
      <c r="Q12" s="98">
        <v>2780</v>
      </c>
      <c r="R12" s="98">
        <v>1400</v>
      </c>
      <c r="S12" s="98">
        <v>700</v>
      </c>
      <c r="T12" s="98">
        <v>300</v>
      </c>
      <c r="U12" s="98">
        <v>960</v>
      </c>
      <c r="V12" s="98">
        <v>440</v>
      </c>
      <c r="W12" s="98">
        <v>740</v>
      </c>
      <c r="X12" s="98">
        <v>820</v>
      </c>
    </row>
    <row r="13" spans="3:24" ht="15" customHeight="1">
      <c r="J13" s="1211" t="s">
        <v>684</v>
      </c>
      <c r="K13" s="97" t="s">
        <v>815</v>
      </c>
      <c r="L13" s="97">
        <f t="shared" si="0"/>
        <v>28100</v>
      </c>
      <c r="M13" s="98">
        <v>6600</v>
      </c>
      <c r="N13" s="98">
        <v>2800</v>
      </c>
      <c r="O13" s="98">
        <v>7160</v>
      </c>
      <c r="P13" s="98">
        <v>800</v>
      </c>
      <c r="Q13" s="98">
        <v>3000</v>
      </c>
      <c r="R13" s="98">
        <v>4220</v>
      </c>
      <c r="S13" s="98"/>
      <c r="T13" s="98">
        <v>3140</v>
      </c>
      <c r="U13" s="1146">
        <v>120</v>
      </c>
      <c r="V13" s="1146">
        <v>260</v>
      </c>
      <c r="W13" s="98"/>
      <c r="X13" s="98"/>
    </row>
    <row r="14" spans="3:24" ht="15" customHeight="1">
      <c r="J14" s="1211"/>
      <c r="M14" s="98"/>
      <c r="N14" s="98"/>
      <c r="O14" s="98"/>
      <c r="P14" s="98"/>
      <c r="Q14" s="98"/>
      <c r="R14" s="98"/>
      <c r="S14" s="98"/>
      <c r="T14" s="98"/>
      <c r="U14" s="1146"/>
      <c r="V14" s="1146"/>
      <c r="W14" s="98"/>
      <c r="X14" s="98"/>
    </row>
    <row r="15" spans="3:24" ht="15.75" thickBot="1">
      <c r="F15" s="860" t="e">
        <f>(#REF!+#REF!+#REF!+#REF!)</f>
        <v>#REF!</v>
      </c>
      <c r="G15" s="860"/>
      <c r="H15" s="861"/>
      <c r="I15" s="860"/>
      <c r="J15" s="860"/>
      <c r="K15" s="102"/>
      <c r="L15" s="862">
        <f>SUBTOTAL(9,L20:L72)</f>
        <v>8335654.2407874297</v>
      </c>
      <c r="M15" s="862">
        <f>SUBTOTAL(9,M20:M72)</f>
        <v>1786116.3741417753</v>
      </c>
      <c r="N15" s="862">
        <f t="shared" ref="N15:X15" si="1">SUBTOTAL(9,N20:N72)</f>
        <v>88247.190886906377</v>
      </c>
      <c r="O15" s="862">
        <f t="shared" si="1"/>
        <v>934624.77646338346</v>
      </c>
      <c r="P15" s="862">
        <f t="shared" si="1"/>
        <v>748612.97338667815</v>
      </c>
      <c r="Q15" s="862">
        <f t="shared" si="1"/>
        <v>1361011.8120459013</v>
      </c>
      <c r="R15" s="862">
        <f t="shared" si="1"/>
        <v>331225.87067592598</v>
      </c>
      <c r="S15" s="862">
        <f t="shared" si="1"/>
        <v>2602004.3710620943</v>
      </c>
      <c r="T15" s="862">
        <f t="shared" si="1"/>
        <v>206768.10228487127</v>
      </c>
      <c r="U15" s="862">
        <f t="shared" si="1"/>
        <v>75257.42857142858</v>
      </c>
      <c r="V15" s="862">
        <f t="shared" si="1"/>
        <v>27612.607142857145</v>
      </c>
      <c r="W15" s="862">
        <f t="shared" si="1"/>
        <v>148456.57639316004</v>
      </c>
      <c r="X15" s="862">
        <f t="shared" si="1"/>
        <v>28297.532857142854</v>
      </c>
    </row>
    <row r="16" spans="3:24" ht="15" customHeight="1">
      <c r="C16" s="1605" t="s">
        <v>0</v>
      </c>
      <c r="D16" s="1608" t="s">
        <v>94</v>
      </c>
      <c r="E16" s="1608" t="s">
        <v>664</v>
      </c>
      <c r="F16" s="1608" t="s">
        <v>2</v>
      </c>
      <c r="G16" s="1608" t="s">
        <v>665</v>
      </c>
      <c r="H16" s="1623" t="s">
        <v>666</v>
      </c>
      <c r="I16" s="1611" t="s">
        <v>667</v>
      </c>
      <c r="J16" s="1611" t="s">
        <v>668</v>
      </c>
      <c r="K16" s="1614" t="s">
        <v>75</v>
      </c>
      <c r="L16" s="1614" t="s">
        <v>669</v>
      </c>
      <c r="M16" s="863" t="s">
        <v>670</v>
      </c>
      <c r="N16" s="864" t="s">
        <v>671</v>
      </c>
      <c r="O16" s="863" t="s">
        <v>672</v>
      </c>
      <c r="P16" s="864" t="s">
        <v>673</v>
      </c>
      <c r="Q16" s="863" t="s">
        <v>674</v>
      </c>
      <c r="R16" s="864" t="s">
        <v>675</v>
      </c>
      <c r="S16" s="863" t="s">
        <v>676</v>
      </c>
      <c r="T16" s="864" t="s">
        <v>677</v>
      </c>
      <c r="U16" s="863" t="s">
        <v>678</v>
      </c>
      <c r="V16" s="864" t="s">
        <v>679</v>
      </c>
      <c r="W16" s="863" t="s">
        <v>680</v>
      </c>
      <c r="X16" s="865" t="s">
        <v>681</v>
      </c>
    </row>
    <row r="17" spans="3:24" ht="16.5" customHeight="1">
      <c r="C17" s="1606"/>
      <c r="D17" s="1609"/>
      <c r="E17" s="1609"/>
      <c r="F17" s="1609"/>
      <c r="G17" s="1609"/>
      <c r="H17" s="1624"/>
      <c r="I17" s="1612"/>
      <c r="J17" s="1612"/>
      <c r="K17" s="1615"/>
      <c r="L17" s="1615"/>
      <c r="M17" s="1092">
        <f t="shared" ref="M17:X17" si="2">WEEKNUM(M18,21)</f>
        <v>1</v>
      </c>
      <c r="N17" s="1093">
        <f t="shared" si="2"/>
        <v>5</v>
      </c>
      <c r="O17" s="1092">
        <f t="shared" si="2"/>
        <v>9</v>
      </c>
      <c r="P17" s="1093">
        <f t="shared" si="2"/>
        <v>14</v>
      </c>
      <c r="Q17" s="1092">
        <f t="shared" si="2"/>
        <v>18</v>
      </c>
      <c r="R17" s="1093">
        <f t="shared" si="2"/>
        <v>22</v>
      </c>
      <c r="S17" s="1092">
        <f t="shared" si="2"/>
        <v>27</v>
      </c>
      <c r="T17" s="1093">
        <f t="shared" si="2"/>
        <v>31</v>
      </c>
      <c r="U17" s="1092">
        <f t="shared" si="2"/>
        <v>35</v>
      </c>
      <c r="V17" s="1093">
        <f t="shared" si="2"/>
        <v>40</v>
      </c>
      <c r="W17" s="1092">
        <f t="shared" si="2"/>
        <v>44</v>
      </c>
      <c r="X17" s="1094">
        <f t="shared" si="2"/>
        <v>48</v>
      </c>
    </row>
    <row r="18" spans="3:24" ht="15.75" thickBot="1">
      <c r="C18" s="1607"/>
      <c r="D18" s="1610"/>
      <c r="E18" s="1610"/>
      <c r="F18" s="1610"/>
      <c r="G18" s="1610"/>
      <c r="H18" s="1625"/>
      <c r="I18" s="1613"/>
      <c r="J18" s="1613"/>
      <c r="K18" s="1616"/>
      <c r="L18" s="1616"/>
      <c r="M18" s="869">
        <v>45292</v>
      </c>
      <c r="N18" s="870">
        <v>45323</v>
      </c>
      <c r="O18" s="869">
        <v>45352</v>
      </c>
      <c r="P18" s="870">
        <v>45383</v>
      </c>
      <c r="Q18" s="869">
        <v>45413</v>
      </c>
      <c r="R18" s="870">
        <v>45444</v>
      </c>
      <c r="S18" s="869">
        <v>45474</v>
      </c>
      <c r="T18" s="870">
        <v>45505</v>
      </c>
      <c r="U18" s="869">
        <v>45536</v>
      </c>
      <c r="V18" s="870">
        <v>45566</v>
      </c>
      <c r="W18" s="869">
        <v>45597</v>
      </c>
      <c r="X18" s="871">
        <v>45627</v>
      </c>
    </row>
    <row r="19" spans="3:24" ht="9.75" customHeight="1" thickBot="1">
      <c r="C19" s="872"/>
      <c r="D19" s="873"/>
      <c r="E19" s="873"/>
      <c r="F19" s="874"/>
      <c r="G19" s="874"/>
      <c r="H19" s="875"/>
      <c r="I19" s="874"/>
      <c r="J19" s="874"/>
      <c r="K19" s="874"/>
      <c r="L19" s="874"/>
      <c r="M19" s="873"/>
      <c r="N19" s="876"/>
      <c r="O19" s="876"/>
      <c r="P19" s="876"/>
      <c r="Q19" s="876"/>
      <c r="R19" s="876"/>
      <c r="S19" s="876"/>
      <c r="T19" s="876"/>
      <c r="U19" s="876"/>
      <c r="V19" s="876"/>
      <c r="W19" s="876"/>
      <c r="X19" s="877"/>
    </row>
    <row r="20" spans="3:24" ht="20.100000000000001" customHeight="1" collapsed="1">
      <c r="C20" s="878">
        <v>1</v>
      </c>
      <c r="D20" s="879">
        <v>0</v>
      </c>
      <c r="E20" s="879" t="s">
        <v>242</v>
      </c>
      <c r="F20" s="880" t="s">
        <v>684</v>
      </c>
      <c r="G20" s="1617"/>
      <c r="H20" s="1617"/>
      <c r="I20" s="1619">
        <v>1000</v>
      </c>
      <c r="J20" s="1621">
        <f>AVERAGE(M21:X21)</f>
        <v>14.164492562545522</v>
      </c>
      <c r="K20" s="881" t="s">
        <v>682</v>
      </c>
      <c r="L20" s="882">
        <f>SUM(M20:X20)</f>
        <v>35260</v>
      </c>
      <c r="M20" s="987">
        <v>6600</v>
      </c>
      <c r="N20" s="883">
        <v>2800</v>
      </c>
      <c r="O20" s="883">
        <v>7160</v>
      </c>
      <c r="P20" s="883">
        <v>800</v>
      </c>
      <c r="Q20" s="883">
        <v>3000</v>
      </c>
      <c r="R20" s="883">
        <v>4220</v>
      </c>
      <c r="S20" s="883">
        <v>2000</v>
      </c>
      <c r="T20" s="883">
        <v>3140</v>
      </c>
      <c r="U20" s="883">
        <v>120</v>
      </c>
      <c r="V20" s="883">
        <v>1220</v>
      </c>
      <c r="W20" s="883">
        <v>4100</v>
      </c>
      <c r="X20" s="991">
        <v>100</v>
      </c>
    </row>
    <row r="21" spans="3:24" ht="20.100000000000001" customHeight="1">
      <c r="C21" s="948"/>
      <c r="D21" s="1089">
        <v>0</v>
      </c>
      <c r="E21" s="1089" t="s">
        <v>242</v>
      </c>
      <c r="F21" s="950" t="s">
        <v>684</v>
      </c>
      <c r="G21" s="1617"/>
      <c r="H21" s="1617"/>
      <c r="I21" s="1619"/>
      <c r="J21" s="1621"/>
      <c r="K21" s="881" t="s">
        <v>688</v>
      </c>
      <c r="L21" s="952"/>
      <c r="M21" s="970">
        <f>(M22/M20)</f>
        <v>12.745102970129869</v>
      </c>
      <c r="N21" s="970">
        <f t="shared" ref="N21:W21" si="3">(N22/N20)</f>
        <v>14.645296291182504</v>
      </c>
      <c r="O21" s="970">
        <f t="shared" si="3"/>
        <v>14.591864825402597</v>
      </c>
      <c r="P21" s="970">
        <f t="shared" si="3"/>
        <v>14.294895763190477</v>
      </c>
      <c r="Q21" s="970">
        <f t="shared" si="3"/>
        <v>14.708936511134199</v>
      </c>
      <c r="R21" s="970">
        <f t="shared" si="3"/>
        <v>14.708936511134199</v>
      </c>
      <c r="S21" s="970">
        <f t="shared" si="3"/>
        <v>13.893699801142857</v>
      </c>
      <c r="T21" s="970">
        <f t="shared" si="3"/>
        <v>13.903362248409939</v>
      </c>
      <c r="U21" s="970"/>
      <c r="V21" s="970"/>
      <c r="W21" s="970">
        <f t="shared" si="3"/>
        <v>13.955687846585715</v>
      </c>
      <c r="X21" s="976">
        <f>(X22/X20)</f>
        <v>14.197142857142858</v>
      </c>
    </row>
    <row r="22" spans="3:24" ht="20.100000000000001" customHeight="1" thickBot="1">
      <c r="C22" s="885"/>
      <c r="D22" s="1088">
        <v>0</v>
      </c>
      <c r="E22" s="1088" t="s">
        <v>242</v>
      </c>
      <c r="F22" s="887" t="s">
        <v>684</v>
      </c>
      <c r="G22" s="1618"/>
      <c r="H22" s="1618"/>
      <c r="I22" s="1620"/>
      <c r="J22" s="1622"/>
      <c r="K22" s="888" t="s">
        <v>569</v>
      </c>
      <c r="L22" s="889">
        <f>SUM(M22:X22)</f>
        <v>477318.69110800064</v>
      </c>
      <c r="M22" s="919">
        <f>SUM(M25+M28+M31+M34+M37+M40)</f>
        <v>84117.679602857141</v>
      </c>
      <c r="N22" s="974">
        <f t="shared" ref="N22:X22" si="4">SUM(N25+N28+N31+N34+N37+N40)</f>
        <v>41006.829615311013</v>
      </c>
      <c r="O22" s="974">
        <f t="shared" si="4"/>
        <v>104477.7521498826</v>
      </c>
      <c r="P22" s="974">
        <f t="shared" si="4"/>
        <v>11435.916610552382</v>
      </c>
      <c r="Q22" s="974">
        <f t="shared" si="4"/>
        <v>44126.8095334026</v>
      </c>
      <c r="R22" s="974">
        <f t="shared" si="4"/>
        <v>62071.712076986325</v>
      </c>
      <c r="S22" s="974">
        <f t="shared" si="4"/>
        <v>27787.399602285714</v>
      </c>
      <c r="T22" s="974">
        <f t="shared" si="4"/>
        <v>43656.557460007207</v>
      </c>
      <c r="U22" s="974">
        <f t="shared" si="4"/>
        <v>0</v>
      </c>
      <c r="V22" s="974">
        <f t="shared" si="4"/>
        <v>0</v>
      </c>
      <c r="W22" s="974">
        <f t="shared" si="4"/>
        <v>57218.320171001433</v>
      </c>
      <c r="X22" s="975">
        <f t="shared" si="4"/>
        <v>1419.7142857142858</v>
      </c>
    </row>
    <row r="23" spans="3:24" ht="20.100000000000001" customHeight="1">
      <c r="C23" s="890"/>
      <c r="D23" s="891">
        <v>1</v>
      </c>
      <c r="E23" s="891" t="s">
        <v>100</v>
      </c>
      <c r="F23" s="892" t="s">
        <v>684</v>
      </c>
      <c r="G23" s="1626">
        <v>0.5</v>
      </c>
      <c r="H23" s="981" t="s">
        <v>218</v>
      </c>
      <c r="I23" s="1629">
        <f>(I20*G23)</f>
        <v>500</v>
      </c>
      <c r="J23" s="1632">
        <f>AVERAGE(M24:X24)</f>
        <v>1</v>
      </c>
      <c r="K23" s="894" t="s">
        <v>682</v>
      </c>
      <c r="L23" s="895">
        <f>SUM(M23:X23)</f>
        <v>17630</v>
      </c>
      <c r="M23" s="923">
        <f>(M20*$G23)</f>
        <v>3300</v>
      </c>
      <c r="N23" s="897">
        <f t="shared" ref="N23:W23" si="5">(N20*$G23)</f>
        <v>1400</v>
      </c>
      <c r="O23" s="897">
        <f t="shared" si="5"/>
        <v>3580</v>
      </c>
      <c r="P23" s="897">
        <f t="shared" si="5"/>
        <v>400</v>
      </c>
      <c r="Q23" s="897">
        <f t="shared" si="5"/>
        <v>1500</v>
      </c>
      <c r="R23" s="897">
        <f t="shared" si="5"/>
        <v>2110</v>
      </c>
      <c r="S23" s="897">
        <f t="shared" si="5"/>
        <v>1000</v>
      </c>
      <c r="T23" s="897">
        <f t="shared" si="5"/>
        <v>1570</v>
      </c>
      <c r="U23" s="897">
        <f t="shared" si="5"/>
        <v>60</v>
      </c>
      <c r="V23" s="897">
        <f t="shared" si="5"/>
        <v>610</v>
      </c>
      <c r="W23" s="897">
        <f t="shared" si="5"/>
        <v>2050</v>
      </c>
      <c r="X23" s="898">
        <f>(X20*$G23)</f>
        <v>50</v>
      </c>
    </row>
    <row r="24" spans="3:24" ht="20.100000000000001" customHeight="1">
      <c r="C24" s="878"/>
      <c r="D24" s="879">
        <v>1</v>
      </c>
      <c r="E24" s="879" t="s">
        <v>100</v>
      </c>
      <c r="F24" s="880" t="s">
        <v>684</v>
      </c>
      <c r="G24" s="1627"/>
      <c r="H24" s="982" t="s">
        <v>218</v>
      </c>
      <c r="I24" s="1630"/>
      <c r="J24" s="1633"/>
      <c r="K24" s="881" t="s">
        <v>688</v>
      </c>
      <c r="L24" s="946"/>
      <c r="M24" s="970">
        <v>1</v>
      </c>
      <c r="N24" s="970">
        <v>1</v>
      </c>
      <c r="O24" s="970">
        <v>1</v>
      </c>
      <c r="P24" s="970">
        <v>1</v>
      </c>
      <c r="Q24" s="970">
        <v>1</v>
      </c>
      <c r="R24" s="970">
        <v>1</v>
      </c>
      <c r="S24" s="970">
        <v>1</v>
      </c>
      <c r="T24" s="970">
        <v>1</v>
      </c>
      <c r="U24" s="970"/>
      <c r="V24" s="970"/>
      <c r="W24" s="970">
        <v>1</v>
      </c>
      <c r="X24" s="990">
        <v>1</v>
      </c>
    </row>
    <row r="25" spans="3:24" ht="20.100000000000001" customHeight="1">
      <c r="C25" s="899"/>
      <c r="D25" s="1087">
        <v>1</v>
      </c>
      <c r="E25" s="1087" t="s">
        <v>100</v>
      </c>
      <c r="F25" s="900" t="s">
        <v>684</v>
      </c>
      <c r="G25" s="1628"/>
      <c r="H25" s="983" t="s">
        <v>218</v>
      </c>
      <c r="I25" s="1631"/>
      <c r="J25" s="1634"/>
      <c r="K25" s="901" t="s">
        <v>569</v>
      </c>
      <c r="L25" s="902">
        <f>SUM(M25:X25)</f>
        <v>16960</v>
      </c>
      <c r="M25" s="927">
        <f t="shared" ref="M25:X25" si="6">(M23*M24)</f>
        <v>3300</v>
      </c>
      <c r="N25" s="903">
        <f t="shared" si="6"/>
        <v>1400</v>
      </c>
      <c r="O25" s="903">
        <f t="shared" si="6"/>
        <v>3580</v>
      </c>
      <c r="P25" s="903">
        <f t="shared" si="6"/>
        <v>400</v>
      </c>
      <c r="Q25" s="903">
        <f t="shared" si="6"/>
        <v>1500</v>
      </c>
      <c r="R25" s="903">
        <f t="shared" si="6"/>
        <v>2110</v>
      </c>
      <c r="S25" s="903">
        <f t="shared" si="6"/>
        <v>1000</v>
      </c>
      <c r="T25" s="903">
        <f t="shared" si="6"/>
        <v>1570</v>
      </c>
      <c r="U25" s="903">
        <f t="shared" si="6"/>
        <v>0</v>
      </c>
      <c r="V25" s="903">
        <f t="shared" si="6"/>
        <v>0</v>
      </c>
      <c r="W25" s="903">
        <f t="shared" si="6"/>
        <v>2050</v>
      </c>
      <c r="X25" s="904">
        <f t="shared" si="6"/>
        <v>50</v>
      </c>
    </row>
    <row r="26" spans="3:24" ht="19.5" customHeight="1">
      <c r="C26" s="899"/>
      <c r="D26" s="1087">
        <v>2</v>
      </c>
      <c r="E26" s="1087" t="s">
        <v>100</v>
      </c>
      <c r="F26" s="900" t="s">
        <v>684</v>
      </c>
      <c r="G26" s="1628">
        <v>2.5000000000000001E-2</v>
      </c>
      <c r="H26" s="983" t="s">
        <v>208</v>
      </c>
      <c r="I26" s="1635">
        <f>(I20*G26)</f>
        <v>25</v>
      </c>
      <c r="J26" s="1636">
        <f>AVERAGE(M27:X27)</f>
        <v>35.298482930822516</v>
      </c>
      <c r="K26" s="901" t="s">
        <v>682</v>
      </c>
      <c r="L26" s="933">
        <f t="shared" ref="L26:L41" si="7">SUM(M26:X26)</f>
        <v>881.5</v>
      </c>
      <c r="M26" s="934">
        <f>(M20*$G26)</f>
        <v>165</v>
      </c>
      <c r="N26" s="935">
        <f t="shared" ref="N26:X26" si="8">(N20*$G26)</f>
        <v>70</v>
      </c>
      <c r="O26" s="935">
        <f t="shared" si="8"/>
        <v>179</v>
      </c>
      <c r="P26" s="935">
        <f t="shared" si="8"/>
        <v>20</v>
      </c>
      <c r="Q26" s="935">
        <f t="shared" si="8"/>
        <v>75</v>
      </c>
      <c r="R26" s="935">
        <f t="shared" si="8"/>
        <v>105.5</v>
      </c>
      <c r="S26" s="935">
        <f t="shared" si="8"/>
        <v>50</v>
      </c>
      <c r="T26" s="935">
        <f t="shared" si="8"/>
        <v>78.5</v>
      </c>
      <c r="U26" s="935">
        <f t="shared" si="8"/>
        <v>3</v>
      </c>
      <c r="V26" s="935">
        <f t="shared" si="8"/>
        <v>30.5</v>
      </c>
      <c r="W26" s="935">
        <f t="shared" si="8"/>
        <v>102.5</v>
      </c>
      <c r="X26" s="936">
        <f t="shared" si="8"/>
        <v>2.5</v>
      </c>
    </row>
    <row r="27" spans="3:24" ht="19.5" customHeight="1">
      <c r="C27" s="899"/>
      <c r="D27" s="1087">
        <v>2</v>
      </c>
      <c r="E27" s="1087" t="s">
        <v>100</v>
      </c>
      <c r="F27" s="900" t="s">
        <v>684</v>
      </c>
      <c r="G27" s="1628"/>
      <c r="H27" s="983" t="s">
        <v>208</v>
      </c>
      <c r="I27" s="1635"/>
      <c r="J27" s="1633"/>
      <c r="K27" s="901" t="s">
        <v>688</v>
      </c>
      <c r="L27" s="933"/>
      <c r="M27" s="970">
        <v>33.089833090909096</v>
      </c>
      <c r="N27" s="970">
        <v>33.089833090909096</v>
      </c>
      <c r="O27" s="970">
        <v>33.089833090909096</v>
      </c>
      <c r="P27" s="970">
        <v>31.473013666666667</v>
      </c>
      <c r="Q27" s="970">
        <v>41.177500727272729</v>
      </c>
      <c r="R27" s="970">
        <v>41.177500727272729</v>
      </c>
      <c r="S27" s="970">
        <v>29.448190857142855</v>
      </c>
      <c r="T27" s="970">
        <v>29.448190857142855</v>
      </c>
      <c r="U27" s="970"/>
      <c r="V27" s="970"/>
      <c r="W27" s="970">
        <v>40.390933199999999</v>
      </c>
      <c r="X27" s="990">
        <f>(2.32*17.5)</f>
        <v>40.599999999999994</v>
      </c>
    </row>
    <row r="28" spans="3:24" ht="19.5" customHeight="1">
      <c r="C28" s="899"/>
      <c r="D28" s="1087">
        <v>2</v>
      </c>
      <c r="E28" s="1087" t="s">
        <v>100</v>
      </c>
      <c r="F28" s="900" t="s">
        <v>684</v>
      </c>
      <c r="G28" s="1628"/>
      <c r="H28" s="983" t="s">
        <v>208</v>
      </c>
      <c r="I28" s="1635"/>
      <c r="J28" s="1634"/>
      <c r="K28" s="901" t="s">
        <v>569</v>
      </c>
      <c r="L28" s="902">
        <f t="shared" si="7"/>
        <v>29786.853232385281</v>
      </c>
      <c r="M28" s="927">
        <f t="shared" ref="M28:X28" si="9">(M26*M27)</f>
        <v>5459.8224600000012</v>
      </c>
      <c r="N28" s="903">
        <f t="shared" si="9"/>
        <v>2316.2883163636366</v>
      </c>
      <c r="O28" s="903">
        <f t="shared" si="9"/>
        <v>5923.0801232727281</v>
      </c>
      <c r="P28" s="903">
        <f t="shared" si="9"/>
        <v>629.46027333333336</v>
      </c>
      <c r="Q28" s="903">
        <f t="shared" si="9"/>
        <v>3088.3125545454545</v>
      </c>
      <c r="R28" s="903">
        <f t="shared" si="9"/>
        <v>4344.2263267272729</v>
      </c>
      <c r="S28" s="903">
        <f t="shared" si="9"/>
        <v>1472.4095428571427</v>
      </c>
      <c r="T28" s="903">
        <f t="shared" si="9"/>
        <v>2311.6829822857139</v>
      </c>
      <c r="U28" s="903">
        <f t="shared" si="9"/>
        <v>0</v>
      </c>
      <c r="V28" s="903">
        <f t="shared" si="9"/>
        <v>0</v>
      </c>
      <c r="W28" s="903">
        <f t="shared" si="9"/>
        <v>4140.0706529999998</v>
      </c>
      <c r="X28" s="904">
        <f t="shared" si="9"/>
        <v>101.49999999999999</v>
      </c>
    </row>
    <row r="29" spans="3:24" ht="20.100000000000001" customHeight="1">
      <c r="C29" s="899"/>
      <c r="D29" s="1087">
        <v>3</v>
      </c>
      <c r="E29" s="1087" t="s">
        <v>100</v>
      </c>
      <c r="F29" s="900" t="s">
        <v>684</v>
      </c>
      <c r="G29" s="1628">
        <v>0.15</v>
      </c>
      <c r="H29" s="983" t="s">
        <v>685</v>
      </c>
      <c r="I29" s="1635">
        <f>(I20*G29)</f>
        <v>150</v>
      </c>
      <c r="J29" s="1636">
        <f>AVERAGE(M30:X30)</f>
        <v>25.88020326183306</v>
      </c>
      <c r="K29" s="901" t="s">
        <v>682</v>
      </c>
      <c r="L29" s="933">
        <f t="shared" si="7"/>
        <v>5289</v>
      </c>
      <c r="M29" s="934">
        <f>(M20*$G29)</f>
        <v>990</v>
      </c>
      <c r="N29" s="935">
        <f t="shared" ref="N29:X29" si="10">(N20*$G29)</f>
        <v>420</v>
      </c>
      <c r="O29" s="935">
        <f t="shared" si="10"/>
        <v>1074</v>
      </c>
      <c r="P29" s="935">
        <f t="shared" si="10"/>
        <v>120</v>
      </c>
      <c r="Q29" s="935">
        <f t="shared" si="10"/>
        <v>450</v>
      </c>
      <c r="R29" s="935">
        <f t="shared" si="10"/>
        <v>633</v>
      </c>
      <c r="S29" s="935">
        <f t="shared" si="10"/>
        <v>300</v>
      </c>
      <c r="T29" s="935">
        <f t="shared" si="10"/>
        <v>471</v>
      </c>
      <c r="U29" s="935">
        <f t="shared" si="10"/>
        <v>18</v>
      </c>
      <c r="V29" s="935">
        <f t="shared" si="10"/>
        <v>183</v>
      </c>
      <c r="W29" s="935">
        <f t="shared" si="10"/>
        <v>615</v>
      </c>
      <c r="X29" s="936">
        <f t="shared" si="10"/>
        <v>15</v>
      </c>
    </row>
    <row r="30" spans="3:24" ht="20.100000000000001" customHeight="1">
      <c r="C30" s="899"/>
      <c r="D30" s="1087">
        <v>3</v>
      </c>
      <c r="E30" s="1087" t="s">
        <v>100</v>
      </c>
      <c r="F30" s="900" t="s">
        <v>684</v>
      </c>
      <c r="G30" s="1628"/>
      <c r="H30" s="983" t="s">
        <v>685</v>
      </c>
      <c r="I30" s="1635"/>
      <c r="J30" s="1633"/>
      <c r="K30" s="901" t="s">
        <v>688</v>
      </c>
      <c r="L30" s="933"/>
      <c r="M30" s="970">
        <f>1750/100</f>
        <v>17.5</v>
      </c>
      <c r="N30" s="970">
        <v>30.167955473684216</v>
      </c>
      <c r="O30" s="970">
        <v>29.81174570181819</v>
      </c>
      <c r="P30" s="970">
        <v>28.10142185777778</v>
      </c>
      <c r="Q30" s="970">
        <v>28.10142185777778</v>
      </c>
      <c r="R30" s="970">
        <v>28.10142185777778</v>
      </c>
      <c r="S30" s="970">
        <v>24.621395436190468</v>
      </c>
      <c r="T30" s="970">
        <v>24.68581175130435</v>
      </c>
      <c r="U30" s="970"/>
      <c r="V30" s="970"/>
      <c r="W30" s="970">
        <v>23.210858681999998</v>
      </c>
      <c r="X30" s="990">
        <f>(35*17.5)/25</f>
        <v>24.5</v>
      </c>
    </row>
    <row r="31" spans="3:24" ht="20.100000000000001" customHeight="1">
      <c r="C31" s="899"/>
      <c r="D31" s="1087">
        <v>3</v>
      </c>
      <c r="E31" s="1087" t="s">
        <v>100</v>
      </c>
      <c r="F31" s="900" t="s">
        <v>684</v>
      </c>
      <c r="G31" s="1628"/>
      <c r="H31" s="983" t="s">
        <v>685</v>
      </c>
      <c r="I31" s="1635"/>
      <c r="J31" s="1634"/>
      <c r="K31" s="901" t="s">
        <v>569</v>
      </c>
      <c r="L31" s="902">
        <f t="shared" si="7"/>
        <v>129474.98073275827</v>
      </c>
      <c r="M31" s="927">
        <f t="shared" ref="M31:X31" si="11">(M29*M30)</f>
        <v>17325</v>
      </c>
      <c r="N31" s="903">
        <f t="shared" si="11"/>
        <v>12670.541298947372</v>
      </c>
      <c r="O31" s="903">
        <f t="shared" si="11"/>
        <v>32017.814883752737</v>
      </c>
      <c r="P31" s="903">
        <f t="shared" si="11"/>
        <v>3372.1706229333336</v>
      </c>
      <c r="Q31" s="903">
        <f t="shared" si="11"/>
        <v>12645.639836</v>
      </c>
      <c r="R31" s="903">
        <f t="shared" si="11"/>
        <v>17788.200035973336</v>
      </c>
      <c r="S31" s="903">
        <f t="shared" si="11"/>
        <v>7386.4186308571407</v>
      </c>
      <c r="T31" s="903">
        <f t="shared" si="11"/>
        <v>11627.017334864349</v>
      </c>
      <c r="U31" s="903">
        <f t="shared" si="11"/>
        <v>0</v>
      </c>
      <c r="V31" s="903">
        <f t="shared" si="11"/>
        <v>0</v>
      </c>
      <c r="W31" s="903">
        <f t="shared" si="11"/>
        <v>14274.678089429999</v>
      </c>
      <c r="X31" s="904">
        <f t="shared" si="11"/>
        <v>367.5</v>
      </c>
    </row>
    <row r="32" spans="3:24" ht="20.100000000000001" customHeight="1">
      <c r="C32" s="899"/>
      <c r="D32" s="1087">
        <v>4</v>
      </c>
      <c r="E32" s="1087" t="s">
        <v>100</v>
      </c>
      <c r="F32" s="900" t="s">
        <v>684</v>
      </c>
      <c r="G32" s="1628">
        <v>0.375</v>
      </c>
      <c r="H32" s="983" t="s">
        <v>217</v>
      </c>
      <c r="I32" s="1631">
        <f>(I20*G32)</f>
        <v>375</v>
      </c>
      <c r="J32" s="1636">
        <f>AVERAGE(M33:X33)</f>
        <v>1.1999999999999997</v>
      </c>
      <c r="K32" s="901" t="s">
        <v>682</v>
      </c>
      <c r="L32" s="905">
        <f t="shared" si="7"/>
        <v>13222.5</v>
      </c>
      <c r="M32" s="928">
        <f>(M20*$G32)</f>
        <v>2475</v>
      </c>
      <c r="N32" s="907">
        <f t="shared" ref="N32:W32" si="12">(N20*$G32)</f>
        <v>1050</v>
      </c>
      <c r="O32" s="907">
        <f t="shared" si="12"/>
        <v>2685</v>
      </c>
      <c r="P32" s="907">
        <f t="shared" si="12"/>
        <v>300</v>
      </c>
      <c r="Q32" s="907">
        <f t="shared" si="12"/>
        <v>1125</v>
      </c>
      <c r="R32" s="907">
        <f t="shared" si="12"/>
        <v>1582.5</v>
      </c>
      <c r="S32" s="907">
        <f t="shared" si="12"/>
        <v>750</v>
      </c>
      <c r="T32" s="907">
        <f t="shared" si="12"/>
        <v>1177.5</v>
      </c>
      <c r="U32" s="907">
        <f t="shared" si="12"/>
        <v>45</v>
      </c>
      <c r="V32" s="907">
        <f t="shared" si="12"/>
        <v>457.5</v>
      </c>
      <c r="W32" s="907">
        <f t="shared" si="12"/>
        <v>1537.5</v>
      </c>
      <c r="X32" s="908">
        <f>(X20*$G32)</f>
        <v>37.5</v>
      </c>
    </row>
    <row r="33" spans="3:24" ht="20.100000000000001" customHeight="1">
      <c r="C33" s="899"/>
      <c r="D33" s="1087">
        <v>4</v>
      </c>
      <c r="E33" s="1087" t="s">
        <v>100</v>
      </c>
      <c r="F33" s="900" t="s">
        <v>684</v>
      </c>
      <c r="G33" s="1628"/>
      <c r="H33" s="983" t="s">
        <v>217</v>
      </c>
      <c r="I33" s="1631"/>
      <c r="J33" s="1633"/>
      <c r="K33" s="901" t="s">
        <v>688</v>
      </c>
      <c r="L33" s="905"/>
      <c r="M33" s="970">
        <v>1.2</v>
      </c>
      <c r="N33" s="970">
        <v>1.2</v>
      </c>
      <c r="O33" s="970">
        <v>1.2</v>
      </c>
      <c r="P33" s="970">
        <v>1.2</v>
      </c>
      <c r="Q33" s="970">
        <v>1.2</v>
      </c>
      <c r="R33" s="970">
        <v>1.2</v>
      </c>
      <c r="S33" s="970">
        <v>1.2</v>
      </c>
      <c r="T33" s="970">
        <v>1.2</v>
      </c>
      <c r="U33" s="970"/>
      <c r="V33" s="970"/>
      <c r="W33" s="970">
        <v>1.2</v>
      </c>
      <c r="X33" s="990">
        <v>1.2</v>
      </c>
    </row>
    <row r="34" spans="3:24" ht="20.100000000000001" customHeight="1">
      <c r="C34" s="899"/>
      <c r="D34" s="1087">
        <v>4</v>
      </c>
      <c r="E34" s="1087" t="s">
        <v>100</v>
      </c>
      <c r="F34" s="900" t="s">
        <v>684</v>
      </c>
      <c r="G34" s="1628"/>
      <c r="H34" s="983" t="s">
        <v>217</v>
      </c>
      <c r="I34" s="1631"/>
      <c r="J34" s="1634"/>
      <c r="K34" s="901" t="s">
        <v>569</v>
      </c>
      <c r="L34" s="902">
        <f t="shared" si="7"/>
        <v>15264</v>
      </c>
      <c r="M34" s="927">
        <f t="shared" ref="M34:X34" si="13">(M32*M33)</f>
        <v>2970</v>
      </c>
      <c r="N34" s="903">
        <f t="shared" si="13"/>
        <v>1260</v>
      </c>
      <c r="O34" s="903">
        <f t="shared" si="13"/>
        <v>3222</v>
      </c>
      <c r="P34" s="903">
        <f t="shared" si="13"/>
        <v>360</v>
      </c>
      <c r="Q34" s="903">
        <f t="shared" si="13"/>
        <v>1350</v>
      </c>
      <c r="R34" s="903">
        <f t="shared" si="13"/>
        <v>1899</v>
      </c>
      <c r="S34" s="903">
        <f t="shared" si="13"/>
        <v>900</v>
      </c>
      <c r="T34" s="903">
        <f t="shared" si="13"/>
        <v>1413</v>
      </c>
      <c r="U34" s="903">
        <f t="shared" si="13"/>
        <v>0</v>
      </c>
      <c r="V34" s="903">
        <f t="shared" si="13"/>
        <v>0</v>
      </c>
      <c r="W34" s="903">
        <f t="shared" si="13"/>
        <v>1845</v>
      </c>
      <c r="X34" s="904">
        <f t="shared" si="13"/>
        <v>45</v>
      </c>
    </row>
    <row r="35" spans="3:24" ht="20.100000000000001" customHeight="1">
      <c r="C35" s="899"/>
      <c r="D35" s="1087">
        <v>5</v>
      </c>
      <c r="E35" s="1087" t="s">
        <v>100</v>
      </c>
      <c r="F35" s="900" t="s">
        <v>684</v>
      </c>
      <c r="G35" s="1628">
        <v>0.06</v>
      </c>
      <c r="H35" s="983" t="s">
        <v>215</v>
      </c>
      <c r="I35" s="1635">
        <f>(I20*G35)</f>
        <v>60</v>
      </c>
      <c r="J35" s="1636">
        <f>AVERAGE(M36:X36)</f>
        <v>123.21428571428574</v>
      </c>
      <c r="K35" s="901" t="s">
        <v>682</v>
      </c>
      <c r="L35" s="933">
        <f t="shared" si="7"/>
        <v>2115.6000000000004</v>
      </c>
      <c r="M35" s="934">
        <f>(M20*$G35)</f>
        <v>396</v>
      </c>
      <c r="N35" s="935">
        <f t="shared" ref="N35:W35" si="14">(N20*$G35)</f>
        <v>168</v>
      </c>
      <c r="O35" s="935">
        <f t="shared" si="14"/>
        <v>429.59999999999997</v>
      </c>
      <c r="P35" s="935">
        <f t="shared" si="14"/>
        <v>48</v>
      </c>
      <c r="Q35" s="935">
        <f t="shared" si="14"/>
        <v>180</v>
      </c>
      <c r="R35" s="935">
        <f t="shared" si="14"/>
        <v>253.2</v>
      </c>
      <c r="S35" s="935">
        <f t="shared" si="14"/>
        <v>120</v>
      </c>
      <c r="T35" s="935">
        <f t="shared" si="14"/>
        <v>188.4</v>
      </c>
      <c r="U35" s="935">
        <f t="shared" si="14"/>
        <v>7.1999999999999993</v>
      </c>
      <c r="V35" s="935">
        <f t="shared" si="14"/>
        <v>73.2</v>
      </c>
      <c r="W35" s="935">
        <f t="shared" si="14"/>
        <v>246</v>
      </c>
      <c r="X35" s="936">
        <f>(X20*$G35)</f>
        <v>6</v>
      </c>
    </row>
    <row r="36" spans="3:24" ht="20.100000000000001" customHeight="1">
      <c r="C36" s="899"/>
      <c r="D36" s="1087">
        <v>5</v>
      </c>
      <c r="E36" s="1087" t="s">
        <v>100</v>
      </c>
      <c r="F36" s="900" t="s">
        <v>684</v>
      </c>
      <c r="G36" s="1628"/>
      <c r="H36" s="983" t="s">
        <v>215</v>
      </c>
      <c r="I36" s="1635"/>
      <c r="J36" s="1633"/>
      <c r="K36" s="901" t="s">
        <v>688</v>
      </c>
      <c r="L36" s="933"/>
      <c r="M36" s="970">
        <v>121.42857142857143</v>
      </c>
      <c r="N36" s="970">
        <v>121.42857142857143</v>
      </c>
      <c r="O36" s="970">
        <v>121.42857142857143</v>
      </c>
      <c r="P36" s="970">
        <v>121.42857142857143</v>
      </c>
      <c r="Q36" s="970">
        <v>124.28571428571429</v>
      </c>
      <c r="R36" s="970">
        <v>124.28571428571429</v>
      </c>
      <c r="S36" s="970">
        <v>124.28571428571429</v>
      </c>
      <c r="T36" s="970">
        <v>124.28571428571429</v>
      </c>
      <c r="U36" s="970"/>
      <c r="V36" s="970"/>
      <c r="W36" s="970">
        <v>124.28571428571429</v>
      </c>
      <c r="X36" s="990">
        <f>1750/14</f>
        <v>125</v>
      </c>
    </row>
    <row r="37" spans="3:24" ht="20.100000000000001" customHeight="1">
      <c r="C37" s="899"/>
      <c r="D37" s="1087">
        <v>5</v>
      </c>
      <c r="E37" s="1087" t="s">
        <v>100</v>
      </c>
      <c r="F37" s="900" t="s">
        <v>684</v>
      </c>
      <c r="G37" s="1628"/>
      <c r="H37" s="983" t="s">
        <v>215</v>
      </c>
      <c r="I37" s="1635"/>
      <c r="J37" s="1634"/>
      <c r="K37" s="901" t="s">
        <v>569</v>
      </c>
      <c r="L37" s="902">
        <f t="shared" si="7"/>
        <v>249974.57142857145</v>
      </c>
      <c r="M37" s="927">
        <f t="shared" ref="M37:X37" si="15">(M35*M36)</f>
        <v>48085.71428571429</v>
      </c>
      <c r="N37" s="903">
        <f t="shared" si="15"/>
        <v>20400</v>
      </c>
      <c r="O37" s="903">
        <f t="shared" si="15"/>
        <v>52165.714285714283</v>
      </c>
      <c r="P37" s="903">
        <f t="shared" si="15"/>
        <v>5828.5714285714284</v>
      </c>
      <c r="Q37" s="903">
        <f t="shared" si="15"/>
        <v>22371.428571428572</v>
      </c>
      <c r="R37" s="903">
        <f t="shared" si="15"/>
        <v>31469.142857142859</v>
      </c>
      <c r="S37" s="903">
        <f t="shared" si="15"/>
        <v>14914.285714285716</v>
      </c>
      <c r="T37" s="903">
        <f t="shared" si="15"/>
        <v>23415.428571428572</v>
      </c>
      <c r="U37" s="903">
        <f t="shared" si="15"/>
        <v>0</v>
      </c>
      <c r="V37" s="903">
        <f t="shared" si="15"/>
        <v>0</v>
      </c>
      <c r="W37" s="903">
        <f t="shared" si="15"/>
        <v>30574.285714285717</v>
      </c>
      <c r="X37" s="904">
        <f t="shared" si="15"/>
        <v>750</v>
      </c>
    </row>
    <row r="38" spans="3:24" ht="20.100000000000001" customHeight="1">
      <c r="C38" s="899"/>
      <c r="D38" s="1087">
        <v>6</v>
      </c>
      <c r="E38" s="1087" t="s">
        <v>100</v>
      </c>
      <c r="F38" s="900" t="s">
        <v>684</v>
      </c>
      <c r="G38" s="1628">
        <v>0.04</v>
      </c>
      <c r="H38" s="984" t="s">
        <v>216</v>
      </c>
      <c r="I38" s="1631">
        <f>(I20*G38)</f>
        <v>40</v>
      </c>
      <c r="J38" s="1636">
        <f>AVERAGE(M39:X39)</f>
        <v>37</v>
      </c>
      <c r="K38" s="901" t="s">
        <v>682</v>
      </c>
      <c r="L38" s="933">
        <f t="shared" si="7"/>
        <v>1007.4285714285714</v>
      </c>
      <c r="M38" s="934">
        <f>(M20*$G38)/1.4</f>
        <v>188.57142857142858</v>
      </c>
      <c r="N38" s="935">
        <f t="shared" ref="N38:W38" si="16">(N20*$G38)/1.4</f>
        <v>80</v>
      </c>
      <c r="O38" s="935">
        <f t="shared" si="16"/>
        <v>204.57142857142861</v>
      </c>
      <c r="P38" s="935">
        <f t="shared" si="16"/>
        <v>22.857142857142858</v>
      </c>
      <c r="Q38" s="935">
        <f t="shared" si="16"/>
        <v>85.714285714285722</v>
      </c>
      <c r="R38" s="935">
        <f t="shared" si="16"/>
        <v>120.57142857142858</v>
      </c>
      <c r="S38" s="935">
        <f t="shared" si="16"/>
        <v>57.142857142857146</v>
      </c>
      <c r="T38" s="935">
        <f t="shared" si="16"/>
        <v>89.714285714285722</v>
      </c>
      <c r="U38" s="935">
        <f t="shared" si="16"/>
        <v>3.4285714285714288</v>
      </c>
      <c r="V38" s="935">
        <f t="shared" si="16"/>
        <v>34.857142857142861</v>
      </c>
      <c r="W38" s="935">
        <f t="shared" si="16"/>
        <v>117.14285714285715</v>
      </c>
      <c r="X38" s="936">
        <f>(X20*$G38)/1.4</f>
        <v>2.8571428571428572</v>
      </c>
    </row>
    <row r="39" spans="3:24" ht="20.100000000000001" customHeight="1">
      <c r="C39" s="899"/>
      <c r="D39" s="1087">
        <v>6</v>
      </c>
      <c r="E39" s="1087" t="s">
        <v>100</v>
      </c>
      <c r="F39" s="900" t="s">
        <v>684</v>
      </c>
      <c r="G39" s="1628"/>
      <c r="H39" s="984" t="s">
        <v>216</v>
      </c>
      <c r="I39" s="1631"/>
      <c r="J39" s="1633"/>
      <c r="K39" s="901" t="s">
        <v>688</v>
      </c>
      <c r="L39" s="933"/>
      <c r="M39" s="970">
        <f>3700/100</f>
        <v>37</v>
      </c>
      <c r="N39" s="970">
        <f t="shared" ref="N39:X39" si="17">3700/100</f>
        <v>37</v>
      </c>
      <c r="O39" s="970">
        <f t="shared" si="17"/>
        <v>37</v>
      </c>
      <c r="P39" s="970">
        <f t="shared" si="17"/>
        <v>37</v>
      </c>
      <c r="Q39" s="970">
        <f t="shared" si="17"/>
        <v>37</v>
      </c>
      <c r="R39" s="970">
        <f t="shared" si="17"/>
        <v>37</v>
      </c>
      <c r="S39" s="970">
        <f t="shared" si="17"/>
        <v>37</v>
      </c>
      <c r="T39" s="970">
        <f t="shared" si="17"/>
        <v>37</v>
      </c>
      <c r="U39" s="970"/>
      <c r="V39" s="970"/>
      <c r="W39" s="970">
        <f t="shared" si="17"/>
        <v>37</v>
      </c>
      <c r="X39" s="990">
        <f t="shared" si="17"/>
        <v>37</v>
      </c>
    </row>
    <row r="40" spans="3:24" ht="20.100000000000001" customHeight="1">
      <c r="C40" s="899"/>
      <c r="D40" s="1087">
        <v>6</v>
      </c>
      <c r="E40" s="1087" t="s">
        <v>100</v>
      </c>
      <c r="F40" s="900" t="s">
        <v>684</v>
      </c>
      <c r="G40" s="1628"/>
      <c r="H40" s="984" t="s">
        <v>216</v>
      </c>
      <c r="I40" s="1631"/>
      <c r="J40" s="1634"/>
      <c r="K40" s="901" t="s">
        <v>569</v>
      </c>
      <c r="L40" s="902">
        <f t="shared" si="7"/>
        <v>35858.285714285717</v>
      </c>
      <c r="M40" s="927">
        <f t="shared" ref="M40:X40" si="18">(M38*M39)</f>
        <v>6977.1428571428578</v>
      </c>
      <c r="N40" s="903">
        <f t="shared" si="18"/>
        <v>2960</v>
      </c>
      <c r="O40" s="903">
        <f t="shared" si="18"/>
        <v>7569.1428571428587</v>
      </c>
      <c r="P40" s="903">
        <f t="shared" si="18"/>
        <v>845.71428571428578</v>
      </c>
      <c r="Q40" s="903">
        <f t="shared" si="18"/>
        <v>3171.4285714285716</v>
      </c>
      <c r="R40" s="903">
        <f t="shared" si="18"/>
        <v>4461.1428571428578</v>
      </c>
      <c r="S40" s="903">
        <f t="shared" si="18"/>
        <v>2114.2857142857142</v>
      </c>
      <c r="T40" s="903">
        <f t="shared" si="18"/>
        <v>3319.4285714285716</v>
      </c>
      <c r="U40" s="903">
        <f t="shared" si="18"/>
        <v>0</v>
      </c>
      <c r="V40" s="903">
        <f t="shared" si="18"/>
        <v>0</v>
      </c>
      <c r="W40" s="903">
        <f t="shared" si="18"/>
        <v>4334.2857142857147</v>
      </c>
      <c r="X40" s="904">
        <f t="shared" si="18"/>
        <v>105.71428571428572</v>
      </c>
    </row>
    <row r="41" spans="3:24" ht="20.100000000000001" customHeight="1" thickBot="1">
      <c r="C41" s="885"/>
      <c r="D41" s="1155">
        <v>7</v>
      </c>
      <c r="E41" s="1155" t="s">
        <v>100</v>
      </c>
      <c r="F41" s="887" t="s">
        <v>684</v>
      </c>
      <c r="G41" s="1236">
        <f>(I41/I20)</f>
        <v>2.5000000000000001E-3</v>
      </c>
      <c r="H41" s="986" t="s">
        <v>204</v>
      </c>
      <c r="I41" s="1237">
        <f>I20-((I23+I32+(I26/2)+(I29/2)+(I35/2)+(I38/8)))</f>
        <v>2.5</v>
      </c>
      <c r="J41" s="915"/>
      <c r="K41" s="937" t="s">
        <v>682</v>
      </c>
      <c r="L41" s="1238">
        <f t="shared" si="7"/>
        <v>88.149999999999991</v>
      </c>
      <c r="M41" s="1239">
        <f>(M20*$G41)</f>
        <v>16.5</v>
      </c>
      <c r="N41" s="1240">
        <f t="shared" ref="N41:W41" si="19">(N20*$G41)</f>
        <v>7</v>
      </c>
      <c r="O41" s="1240">
        <f t="shared" si="19"/>
        <v>17.900000000000002</v>
      </c>
      <c r="P41" s="1240">
        <f t="shared" si="19"/>
        <v>2</v>
      </c>
      <c r="Q41" s="1240">
        <f t="shared" si="19"/>
        <v>7.5</v>
      </c>
      <c r="R41" s="1240">
        <f t="shared" si="19"/>
        <v>10.55</v>
      </c>
      <c r="S41" s="1240">
        <f t="shared" si="19"/>
        <v>5</v>
      </c>
      <c r="T41" s="1240">
        <f t="shared" si="19"/>
        <v>7.8500000000000005</v>
      </c>
      <c r="U41" s="1240">
        <f t="shared" si="19"/>
        <v>0.3</v>
      </c>
      <c r="V41" s="1240">
        <f t="shared" si="19"/>
        <v>3.0500000000000003</v>
      </c>
      <c r="W41" s="1240">
        <f t="shared" si="19"/>
        <v>10.25</v>
      </c>
      <c r="X41" s="1241">
        <f>(X20*$G41)</f>
        <v>0.25</v>
      </c>
    </row>
    <row r="42" spans="3:24" ht="20.100000000000001" customHeight="1" collapsed="1">
      <c r="C42" s="890">
        <v>2</v>
      </c>
      <c r="D42" s="891">
        <v>0</v>
      </c>
      <c r="E42" s="891" t="s">
        <v>242</v>
      </c>
      <c r="F42" s="892" t="s">
        <v>502</v>
      </c>
      <c r="G42" s="1637"/>
      <c r="H42" s="1637"/>
      <c r="I42" s="1646">
        <v>1000</v>
      </c>
      <c r="J42" s="1641">
        <f>AVERAGE(M43:X43)</f>
        <v>4.7851199999999992</v>
      </c>
      <c r="K42" s="894" t="s">
        <v>682</v>
      </c>
      <c r="L42" s="1225">
        <f>SUM(M42:X42)</f>
        <v>157000</v>
      </c>
      <c r="M42" s="973"/>
      <c r="N42" s="932"/>
      <c r="O42" s="932">
        <v>48140</v>
      </c>
      <c r="P42" s="932">
        <v>55500</v>
      </c>
      <c r="Q42" s="932">
        <v>44000</v>
      </c>
      <c r="R42" s="932">
        <v>9360</v>
      </c>
      <c r="S42" s="932"/>
      <c r="T42" s="932"/>
      <c r="U42" s="932"/>
      <c r="V42" s="932"/>
      <c r="W42" s="932"/>
      <c r="X42" s="1226"/>
    </row>
    <row r="43" spans="3:24" ht="20.100000000000001" customHeight="1">
      <c r="C43" s="948"/>
      <c r="D43" s="1150">
        <v>0</v>
      </c>
      <c r="E43" s="1150" t="s">
        <v>242</v>
      </c>
      <c r="F43" s="950" t="s">
        <v>502</v>
      </c>
      <c r="G43" s="1617"/>
      <c r="H43" s="1617"/>
      <c r="I43" s="1619"/>
      <c r="J43" s="1621"/>
      <c r="K43" s="881" t="s">
        <v>688</v>
      </c>
      <c r="L43" s="952"/>
      <c r="M43" s="970"/>
      <c r="N43" s="970"/>
      <c r="O43" s="970">
        <f t="shared" ref="O43:R43" si="20">(O44/O42)</f>
        <v>4.78512</v>
      </c>
      <c r="P43" s="970">
        <f t="shared" si="20"/>
        <v>4.7851199999999992</v>
      </c>
      <c r="Q43" s="970">
        <f t="shared" si="20"/>
        <v>4.78512</v>
      </c>
      <c r="R43" s="970">
        <f t="shared" si="20"/>
        <v>4.78512</v>
      </c>
      <c r="S43" s="970"/>
      <c r="T43" s="970"/>
      <c r="U43" s="970"/>
      <c r="V43" s="970"/>
      <c r="W43" s="970"/>
      <c r="X43" s="976"/>
    </row>
    <row r="44" spans="3:24" ht="20.100000000000001" customHeight="1" thickBot="1">
      <c r="C44" s="885"/>
      <c r="D44" s="1155">
        <v>0</v>
      </c>
      <c r="E44" s="1155" t="s">
        <v>242</v>
      </c>
      <c r="F44" s="887" t="s">
        <v>502</v>
      </c>
      <c r="G44" s="1618"/>
      <c r="H44" s="1618"/>
      <c r="I44" s="1620"/>
      <c r="J44" s="1622"/>
      <c r="K44" s="888" t="s">
        <v>569</v>
      </c>
      <c r="L44" s="889">
        <f>SUM(M44:X44)</f>
        <v>751263.84</v>
      </c>
      <c r="M44" s="919">
        <f>SUM(M47+M50)</f>
        <v>0</v>
      </c>
      <c r="N44" s="974">
        <f t="shared" ref="N44:X44" si="21">SUM(N47+N50)</f>
        <v>0</v>
      </c>
      <c r="O44" s="974">
        <f t="shared" si="21"/>
        <v>230355.67679999999</v>
      </c>
      <c r="P44" s="974">
        <f t="shared" si="21"/>
        <v>265574.15999999997</v>
      </c>
      <c r="Q44" s="974">
        <f t="shared" si="21"/>
        <v>210545.28</v>
      </c>
      <c r="R44" s="974">
        <f t="shared" si="21"/>
        <v>44788.7232</v>
      </c>
      <c r="S44" s="974">
        <f t="shared" si="21"/>
        <v>0</v>
      </c>
      <c r="T44" s="974">
        <f t="shared" si="21"/>
        <v>0</v>
      </c>
      <c r="U44" s="974">
        <f t="shared" si="21"/>
        <v>0</v>
      </c>
      <c r="V44" s="974">
        <f t="shared" si="21"/>
        <v>0</v>
      </c>
      <c r="W44" s="974">
        <f t="shared" si="21"/>
        <v>0</v>
      </c>
      <c r="X44" s="975">
        <f t="shared" si="21"/>
        <v>0</v>
      </c>
    </row>
    <row r="45" spans="3:24" ht="19.5" customHeight="1">
      <c r="C45" s="899"/>
      <c r="D45" s="1147">
        <v>2</v>
      </c>
      <c r="E45" s="1147" t="s">
        <v>100</v>
      </c>
      <c r="F45" s="900" t="s">
        <v>502</v>
      </c>
      <c r="G45" s="1628">
        <v>0.5</v>
      </c>
      <c r="H45" s="983" t="s">
        <v>267</v>
      </c>
      <c r="I45" s="1635">
        <f>(I42*G45)</f>
        <v>500</v>
      </c>
      <c r="J45" s="1636">
        <f>AVERAGE(M46:X46)</f>
        <v>9</v>
      </c>
      <c r="K45" s="901" t="s">
        <v>682</v>
      </c>
      <c r="L45" s="933">
        <f t="shared" ref="L45" si="22">SUM(M45:X45)</f>
        <v>78500</v>
      </c>
      <c r="M45" s="934">
        <f t="shared" ref="M45:X45" si="23">(M42*$G45)</f>
        <v>0</v>
      </c>
      <c r="N45" s="935">
        <f t="shared" si="23"/>
        <v>0</v>
      </c>
      <c r="O45" s="935">
        <f t="shared" si="23"/>
        <v>24070</v>
      </c>
      <c r="P45" s="935">
        <f t="shared" si="23"/>
        <v>27750</v>
      </c>
      <c r="Q45" s="935">
        <f t="shared" si="23"/>
        <v>22000</v>
      </c>
      <c r="R45" s="935">
        <f t="shared" si="23"/>
        <v>4680</v>
      </c>
      <c r="S45" s="935">
        <f t="shared" si="23"/>
        <v>0</v>
      </c>
      <c r="T45" s="935">
        <f t="shared" si="23"/>
        <v>0</v>
      </c>
      <c r="U45" s="935">
        <f t="shared" si="23"/>
        <v>0</v>
      </c>
      <c r="V45" s="935">
        <f t="shared" si="23"/>
        <v>0</v>
      </c>
      <c r="W45" s="935">
        <f t="shared" si="23"/>
        <v>0</v>
      </c>
      <c r="X45" s="936">
        <f t="shared" si="23"/>
        <v>0</v>
      </c>
    </row>
    <row r="46" spans="3:24" ht="19.5" customHeight="1">
      <c r="C46" s="899"/>
      <c r="D46" s="1147">
        <v>2</v>
      </c>
      <c r="E46" s="1147" t="s">
        <v>100</v>
      </c>
      <c r="F46" s="900" t="s">
        <v>502</v>
      </c>
      <c r="G46" s="1628"/>
      <c r="H46" s="983" t="s">
        <v>267</v>
      </c>
      <c r="I46" s="1635"/>
      <c r="J46" s="1633"/>
      <c r="K46" s="901" t="s">
        <v>688</v>
      </c>
      <c r="L46" s="933"/>
      <c r="M46" s="970"/>
      <c r="N46" s="970"/>
      <c r="O46" s="970">
        <v>9</v>
      </c>
      <c r="P46" s="970">
        <v>9</v>
      </c>
      <c r="Q46" s="970">
        <v>9</v>
      </c>
      <c r="R46" s="970">
        <v>9</v>
      </c>
      <c r="S46" s="970"/>
      <c r="T46" s="970"/>
      <c r="U46" s="970"/>
      <c r="V46" s="970"/>
      <c r="W46" s="970"/>
      <c r="X46" s="990"/>
    </row>
    <row r="47" spans="3:24" ht="19.5" customHeight="1">
      <c r="C47" s="899"/>
      <c r="D47" s="1147">
        <v>2</v>
      </c>
      <c r="E47" s="1147" t="s">
        <v>100</v>
      </c>
      <c r="F47" s="900" t="s">
        <v>502</v>
      </c>
      <c r="G47" s="1628"/>
      <c r="H47" s="983" t="s">
        <v>267</v>
      </c>
      <c r="I47" s="1635"/>
      <c r="J47" s="1634"/>
      <c r="K47" s="901" t="s">
        <v>569</v>
      </c>
      <c r="L47" s="902">
        <f t="shared" ref="L47:L48" si="24">SUM(M47:X47)</f>
        <v>706500</v>
      </c>
      <c r="M47" s="927">
        <f t="shared" ref="M47:X47" si="25">(M45*M46)</f>
        <v>0</v>
      </c>
      <c r="N47" s="903">
        <f t="shared" si="25"/>
        <v>0</v>
      </c>
      <c r="O47" s="903">
        <f t="shared" si="25"/>
        <v>216630</v>
      </c>
      <c r="P47" s="903">
        <f t="shared" si="25"/>
        <v>249750</v>
      </c>
      <c r="Q47" s="903">
        <f t="shared" si="25"/>
        <v>198000</v>
      </c>
      <c r="R47" s="903">
        <f t="shared" si="25"/>
        <v>42120</v>
      </c>
      <c r="S47" s="903">
        <f t="shared" si="25"/>
        <v>0</v>
      </c>
      <c r="T47" s="903">
        <f t="shared" si="25"/>
        <v>0</v>
      </c>
      <c r="U47" s="903">
        <f t="shared" si="25"/>
        <v>0</v>
      </c>
      <c r="V47" s="903">
        <f t="shared" si="25"/>
        <v>0</v>
      </c>
      <c r="W47" s="903">
        <f t="shared" si="25"/>
        <v>0</v>
      </c>
      <c r="X47" s="904">
        <f t="shared" si="25"/>
        <v>0</v>
      </c>
    </row>
    <row r="48" spans="3:24" ht="20.100000000000001" customHeight="1">
      <c r="C48" s="899"/>
      <c r="D48" s="1147">
        <v>3</v>
      </c>
      <c r="E48" s="1147" t="s">
        <v>100</v>
      </c>
      <c r="F48" s="900" t="s">
        <v>502</v>
      </c>
      <c r="G48" s="1628">
        <v>8.9999999999999993E-3</v>
      </c>
      <c r="H48" s="983" t="s">
        <v>206</v>
      </c>
      <c r="I48" s="1635">
        <f>(I42*G48)</f>
        <v>9</v>
      </c>
      <c r="J48" s="1636">
        <f>AVERAGE(M49:X49)</f>
        <v>31.68</v>
      </c>
      <c r="K48" s="901" t="s">
        <v>682</v>
      </c>
      <c r="L48" s="933">
        <f t="shared" si="24"/>
        <v>1413</v>
      </c>
      <c r="M48" s="934">
        <f t="shared" ref="M48:X48" si="26">(M42*$G48)</f>
        <v>0</v>
      </c>
      <c r="N48" s="935">
        <f t="shared" si="26"/>
        <v>0</v>
      </c>
      <c r="O48" s="935">
        <f t="shared" si="26"/>
        <v>433.26</v>
      </c>
      <c r="P48" s="935">
        <f t="shared" si="26"/>
        <v>499.49999999999994</v>
      </c>
      <c r="Q48" s="935">
        <f t="shared" si="26"/>
        <v>395.99999999999994</v>
      </c>
      <c r="R48" s="935">
        <f t="shared" si="26"/>
        <v>84.24</v>
      </c>
      <c r="S48" s="935">
        <f t="shared" si="26"/>
        <v>0</v>
      </c>
      <c r="T48" s="935">
        <f t="shared" si="26"/>
        <v>0</v>
      </c>
      <c r="U48" s="935">
        <f t="shared" si="26"/>
        <v>0</v>
      </c>
      <c r="V48" s="935">
        <f t="shared" si="26"/>
        <v>0</v>
      </c>
      <c r="W48" s="935">
        <f t="shared" si="26"/>
        <v>0</v>
      </c>
      <c r="X48" s="936">
        <f t="shared" si="26"/>
        <v>0</v>
      </c>
    </row>
    <row r="49" spans="3:24" ht="20.100000000000001" customHeight="1">
      <c r="C49" s="899"/>
      <c r="D49" s="1147">
        <v>3</v>
      </c>
      <c r="E49" s="1147" t="s">
        <v>100</v>
      </c>
      <c r="F49" s="900" t="s">
        <v>502</v>
      </c>
      <c r="G49" s="1628"/>
      <c r="H49" s="983" t="s">
        <v>206</v>
      </c>
      <c r="I49" s="1635"/>
      <c r="J49" s="1633"/>
      <c r="K49" s="901" t="s">
        <v>688</v>
      </c>
      <c r="L49" s="933"/>
      <c r="M49" s="970"/>
      <c r="N49" s="970"/>
      <c r="O49" s="970">
        <v>31.68</v>
      </c>
      <c r="P49" s="970">
        <v>31.68</v>
      </c>
      <c r="Q49" s="970">
        <v>31.68</v>
      </c>
      <c r="R49" s="970">
        <v>31.68</v>
      </c>
      <c r="S49" s="970"/>
      <c r="T49" s="970"/>
      <c r="U49" s="970"/>
      <c r="V49" s="970"/>
      <c r="W49" s="970"/>
      <c r="X49" s="990"/>
    </row>
    <row r="50" spans="3:24" ht="20.100000000000001" customHeight="1">
      <c r="C50" s="899"/>
      <c r="D50" s="1147">
        <v>3</v>
      </c>
      <c r="E50" s="1147" t="s">
        <v>100</v>
      </c>
      <c r="F50" s="900" t="s">
        <v>502</v>
      </c>
      <c r="G50" s="1628"/>
      <c r="H50" s="983" t="s">
        <v>206</v>
      </c>
      <c r="I50" s="1635"/>
      <c r="J50" s="1634"/>
      <c r="K50" s="901" t="s">
        <v>569</v>
      </c>
      <c r="L50" s="902">
        <f t="shared" ref="L50" si="27">SUM(M50:X50)</f>
        <v>44763.839999999997</v>
      </c>
      <c r="M50" s="927">
        <f t="shared" ref="M50:X50" si="28">(M48*M49)</f>
        <v>0</v>
      </c>
      <c r="N50" s="903">
        <f t="shared" si="28"/>
        <v>0</v>
      </c>
      <c r="O50" s="903">
        <f t="shared" si="28"/>
        <v>13725.676799999999</v>
      </c>
      <c r="P50" s="903">
        <f t="shared" si="28"/>
        <v>15824.159999999998</v>
      </c>
      <c r="Q50" s="903">
        <f t="shared" si="28"/>
        <v>12545.279999999999</v>
      </c>
      <c r="R50" s="903">
        <f t="shared" si="28"/>
        <v>2668.7231999999999</v>
      </c>
      <c r="S50" s="903">
        <f t="shared" si="28"/>
        <v>0</v>
      </c>
      <c r="T50" s="903">
        <f t="shared" si="28"/>
        <v>0</v>
      </c>
      <c r="U50" s="903">
        <f t="shared" si="28"/>
        <v>0</v>
      </c>
      <c r="V50" s="903">
        <f t="shared" si="28"/>
        <v>0</v>
      </c>
      <c r="W50" s="903">
        <f t="shared" si="28"/>
        <v>0</v>
      </c>
      <c r="X50" s="904">
        <f t="shared" si="28"/>
        <v>0</v>
      </c>
    </row>
    <row r="51" spans="3:24" ht="20.100000000000001" customHeight="1" thickBot="1">
      <c r="C51" s="899"/>
      <c r="D51" s="1214">
        <v>7</v>
      </c>
      <c r="E51" s="1214" t="s">
        <v>100</v>
      </c>
      <c r="F51" s="1215" t="s">
        <v>502</v>
      </c>
      <c r="G51" s="1216"/>
      <c r="H51" s="1217" t="s">
        <v>204</v>
      </c>
      <c r="I51" s="1218">
        <v>700</v>
      </c>
      <c r="J51" s="1219"/>
      <c r="K51" s="1220" t="s">
        <v>682</v>
      </c>
      <c r="L51" s="1221">
        <f t="shared" ref="L51" si="29">SUM(M51:X51)</f>
        <v>109900</v>
      </c>
      <c r="M51" s="1222">
        <f>(M42*$G51)</f>
        <v>0</v>
      </c>
      <c r="N51" s="1223">
        <f>(N42*$G51)</f>
        <v>0</v>
      </c>
      <c r="O51" s="1223">
        <f>(O42*I51)/I42</f>
        <v>33698</v>
      </c>
      <c r="P51" s="1223">
        <f>(P42*I51)/I42</f>
        <v>38850</v>
      </c>
      <c r="Q51" s="1223">
        <f>(Q42*I51)/I42</f>
        <v>30800</v>
      </c>
      <c r="R51" s="1223">
        <f>(R42*I51)/I42</f>
        <v>6552</v>
      </c>
      <c r="S51" s="1223">
        <f t="shared" ref="S51:X51" si="30">(S42*$G51)</f>
        <v>0</v>
      </c>
      <c r="T51" s="1223">
        <f t="shared" si="30"/>
        <v>0</v>
      </c>
      <c r="U51" s="1223">
        <f t="shared" si="30"/>
        <v>0</v>
      </c>
      <c r="V51" s="1223">
        <f t="shared" si="30"/>
        <v>0</v>
      </c>
      <c r="W51" s="1223">
        <f t="shared" si="30"/>
        <v>0</v>
      </c>
      <c r="X51" s="1224">
        <f t="shared" si="30"/>
        <v>0</v>
      </c>
    </row>
    <row r="52" spans="3:24" ht="20.100000000000001" customHeight="1" collapsed="1">
      <c r="C52" s="890">
        <v>3</v>
      </c>
      <c r="D52" s="891">
        <v>0</v>
      </c>
      <c r="E52" s="891" t="s">
        <v>242</v>
      </c>
      <c r="F52" s="892" t="s">
        <v>115</v>
      </c>
      <c r="G52" s="1637"/>
      <c r="H52" s="1637"/>
      <c r="I52" s="1638">
        <v>1000</v>
      </c>
      <c r="J52" s="1641">
        <f>AVERAGE(M53:X53)</f>
        <v>1.28</v>
      </c>
      <c r="K52" s="894" t="s">
        <v>682</v>
      </c>
      <c r="L52" s="1227">
        <f>SUM(M52:X52)</f>
        <v>650200</v>
      </c>
      <c r="M52" s="1228">
        <v>192000</v>
      </c>
      <c r="N52" s="1229"/>
      <c r="O52" s="1229"/>
      <c r="P52" s="1229"/>
      <c r="Q52" s="1229">
        <v>119200</v>
      </c>
      <c r="R52" s="1229"/>
      <c r="S52" s="1229">
        <v>339000</v>
      </c>
      <c r="T52" s="1229"/>
      <c r="U52" s="1229"/>
      <c r="V52" s="1229"/>
      <c r="W52" s="1229"/>
      <c r="X52" s="1230"/>
    </row>
    <row r="53" spans="3:24" ht="20.100000000000001" customHeight="1">
      <c r="C53" s="948"/>
      <c r="D53" s="1150">
        <v>0</v>
      </c>
      <c r="E53" s="1150" t="s">
        <v>242</v>
      </c>
      <c r="F53" s="950" t="s">
        <v>115</v>
      </c>
      <c r="G53" s="1617"/>
      <c r="H53" s="1617"/>
      <c r="I53" s="1639"/>
      <c r="J53" s="1621"/>
      <c r="K53" s="881" t="s">
        <v>688</v>
      </c>
      <c r="L53" s="952"/>
      <c r="M53" s="970">
        <f>(M54/M52)</f>
        <v>1.28</v>
      </c>
      <c r="N53" s="970"/>
      <c r="O53" s="970"/>
      <c r="P53" s="970"/>
      <c r="Q53" s="970">
        <f t="shared" ref="Q53:S53" si="31">(Q54/Q52)</f>
        <v>1.28</v>
      </c>
      <c r="R53" s="970"/>
      <c r="S53" s="970">
        <f t="shared" si="31"/>
        <v>1.28</v>
      </c>
      <c r="T53" s="970"/>
      <c r="U53" s="970"/>
      <c r="V53" s="970"/>
      <c r="W53" s="970"/>
      <c r="X53" s="976"/>
    </row>
    <row r="54" spans="3:24" ht="20.100000000000001" customHeight="1" thickBot="1">
      <c r="C54" s="885"/>
      <c r="D54" s="1155">
        <v>0</v>
      </c>
      <c r="E54" s="1155" t="s">
        <v>242</v>
      </c>
      <c r="F54" s="887" t="s">
        <v>115</v>
      </c>
      <c r="G54" s="1618"/>
      <c r="H54" s="1618"/>
      <c r="I54" s="1640"/>
      <c r="J54" s="1622"/>
      <c r="K54" s="888" t="s">
        <v>569</v>
      </c>
      <c r="L54" s="889">
        <f>SUM(M54:X54)</f>
        <v>832256</v>
      </c>
      <c r="M54" s="919">
        <f>SUM(M57+M60)</f>
        <v>245760</v>
      </c>
      <c r="N54" s="974">
        <f t="shared" ref="N54:X54" si="32">SUM(N57+N60)</f>
        <v>0</v>
      </c>
      <c r="O54" s="974">
        <f t="shared" si="32"/>
        <v>0</v>
      </c>
      <c r="P54" s="974">
        <f t="shared" si="32"/>
        <v>0</v>
      </c>
      <c r="Q54" s="974">
        <f t="shared" si="32"/>
        <v>152576</v>
      </c>
      <c r="R54" s="974">
        <f t="shared" si="32"/>
        <v>0</v>
      </c>
      <c r="S54" s="974">
        <f t="shared" si="32"/>
        <v>433920</v>
      </c>
      <c r="T54" s="974">
        <f t="shared" si="32"/>
        <v>0</v>
      </c>
      <c r="U54" s="974">
        <f t="shared" si="32"/>
        <v>0</v>
      </c>
      <c r="V54" s="974">
        <f t="shared" si="32"/>
        <v>0</v>
      </c>
      <c r="W54" s="974">
        <f t="shared" si="32"/>
        <v>0</v>
      </c>
      <c r="X54" s="975">
        <f t="shared" si="32"/>
        <v>0</v>
      </c>
    </row>
    <row r="55" spans="3:24" ht="20.100000000000001" customHeight="1">
      <c r="C55" s="890"/>
      <c r="D55" s="891">
        <v>1</v>
      </c>
      <c r="E55" s="891" t="s">
        <v>100</v>
      </c>
      <c r="F55" s="892" t="s">
        <v>115</v>
      </c>
      <c r="G55" s="1626">
        <v>1.6</v>
      </c>
      <c r="H55" s="981" t="s">
        <v>148</v>
      </c>
      <c r="I55" s="1642">
        <f>(I52*G55)</f>
        <v>1600</v>
      </c>
      <c r="J55" s="1632">
        <f>AVERAGE(M56:X56)</f>
        <v>0.5</v>
      </c>
      <c r="K55" s="894" t="s">
        <v>682</v>
      </c>
      <c r="L55" s="1204">
        <f>SUM(M55:X55)</f>
        <v>1040320</v>
      </c>
      <c r="M55" s="1205">
        <f>(M52*$G55)</f>
        <v>307200</v>
      </c>
      <c r="N55" s="1206">
        <f t="shared" ref="N55:W55" si="33">(N52*$G55)</f>
        <v>0</v>
      </c>
      <c r="O55" s="1206">
        <f t="shared" si="33"/>
        <v>0</v>
      </c>
      <c r="P55" s="1206">
        <f t="shared" si="33"/>
        <v>0</v>
      </c>
      <c r="Q55" s="1206">
        <f>(Q52*$G55)</f>
        <v>190720</v>
      </c>
      <c r="R55" s="1206">
        <f t="shared" si="33"/>
        <v>0</v>
      </c>
      <c r="S55" s="1206">
        <f>(S52*$G55)</f>
        <v>542400</v>
      </c>
      <c r="T55" s="1206">
        <f t="shared" si="33"/>
        <v>0</v>
      </c>
      <c r="U55" s="1206">
        <f t="shared" si="33"/>
        <v>0</v>
      </c>
      <c r="V55" s="1206">
        <f t="shared" si="33"/>
        <v>0</v>
      </c>
      <c r="W55" s="1206">
        <f t="shared" si="33"/>
        <v>0</v>
      </c>
      <c r="X55" s="1207">
        <f>(X52*$G55)</f>
        <v>0</v>
      </c>
    </row>
    <row r="56" spans="3:24" ht="20.100000000000001" customHeight="1">
      <c r="C56" s="878"/>
      <c r="D56" s="879">
        <v>1</v>
      </c>
      <c r="E56" s="879" t="s">
        <v>100</v>
      </c>
      <c r="F56" s="880" t="s">
        <v>115</v>
      </c>
      <c r="G56" s="1627"/>
      <c r="H56" s="982" t="s">
        <v>148</v>
      </c>
      <c r="I56" s="1643"/>
      <c r="J56" s="1633"/>
      <c r="K56" s="881" t="s">
        <v>688</v>
      </c>
      <c r="L56" s="946"/>
      <c r="M56" s="970">
        <v>0.5</v>
      </c>
      <c r="N56" s="970"/>
      <c r="O56" s="970"/>
      <c r="P56" s="970"/>
      <c r="Q56" s="970">
        <v>0.5</v>
      </c>
      <c r="R56" s="970"/>
      <c r="S56" s="970">
        <v>0.5</v>
      </c>
      <c r="T56" s="970"/>
      <c r="U56" s="970"/>
      <c r="V56" s="970"/>
      <c r="W56" s="970"/>
      <c r="X56" s="990"/>
    </row>
    <row r="57" spans="3:24" ht="20.100000000000001" customHeight="1">
      <c r="C57" s="899"/>
      <c r="D57" s="1147">
        <v>1</v>
      </c>
      <c r="E57" s="1147" t="s">
        <v>100</v>
      </c>
      <c r="F57" s="900" t="s">
        <v>115</v>
      </c>
      <c r="G57" s="1628"/>
      <c r="H57" s="983" t="s">
        <v>148</v>
      </c>
      <c r="I57" s="1635"/>
      <c r="J57" s="1634"/>
      <c r="K57" s="901" t="s">
        <v>569</v>
      </c>
      <c r="L57" s="902">
        <f>SUM(M57:X57)</f>
        <v>520160</v>
      </c>
      <c r="M57" s="927">
        <f>(M55*M56)</f>
        <v>153600</v>
      </c>
      <c r="N57" s="903">
        <f t="shared" ref="N57:X57" si="34">(N55*N56)</f>
        <v>0</v>
      </c>
      <c r="O57" s="903">
        <f t="shared" si="34"/>
        <v>0</v>
      </c>
      <c r="P57" s="903">
        <f t="shared" si="34"/>
        <v>0</v>
      </c>
      <c r="Q57" s="903">
        <f>(Q55*Q56)</f>
        <v>95360</v>
      </c>
      <c r="R57" s="903">
        <f t="shared" si="34"/>
        <v>0</v>
      </c>
      <c r="S57" s="903">
        <f t="shared" si="34"/>
        <v>271200</v>
      </c>
      <c r="T57" s="903">
        <f t="shared" si="34"/>
        <v>0</v>
      </c>
      <c r="U57" s="903">
        <f t="shared" si="34"/>
        <v>0</v>
      </c>
      <c r="V57" s="903">
        <f t="shared" si="34"/>
        <v>0</v>
      </c>
      <c r="W57" s="903">
        <f t="shared" si="34"/>
        <v>0</v>
      </c>
      <c r="X57" s="904">
        <f t="shared" si="34"/>
        <v>0</v>
      </c>
    </row>
    <row r="58" spans="3:24" ht="19.5" customHeight="1">
      <c r="C58" s="899"/>
      <c r="D58" s="1147">
        <v>2</v>
      </c>
      <c r="E58" s="1147" t="s">
        <v>100</v>
      </c>
      <c r="F58" s="900" t="s">
        <v>115</v>
      </c>
      <c r="G58" s="1628">
        <v>0.4</v>
      </c>
      <c r="H58" s="983" t="s">
        <v>186</v>
      </c>
      <c r="I58" s="1635">
        <f>(I52*G58)</f>
        <v>400</v>
      </c>
      <c r="J58" s="1636">
        <f>AVERAGE(M59:X59)</f>
        <v>1.2</v>
      </c>
      <c r="K58" s="901" t="s">
        <v>682</v>
      </c>
      <c r="L58" s="933">
        <f t="shared" ref="L58" si="35">SUM(M58:X58)</f>
        <v>260080</v>
      </c>
      <c r="M58" s="934">
        <f>(M52*$G58)</f>
        <v>76800</v>
      </c>
      <c r="N58" s="935">
        <f t="shared" ref="N58:X58" si="36">(N52*$G58)</f>
        <v>0</v>
      </c>
      <c r="O58" s="935">
        <f t="shared" si="36"/>
        <v>0</v>
      </c>
      <c r="P58" s="935">
        <f t="shared" si="36"/>
        <v>0</v>
      </c>
      <c r="Q58" s="935">
        <f>(Q52*$G58)</f>
        <v>47680</v>
      </c>
      <c r="R58" s="935">
        <f t="shared" si="36"/>
        <v>0</v>
      </c>
      <c r="S58" s="935">
        <f>(S52*$G58)</f>
        <v>135600</v>
      </c>
      <c r="T58" s="935">
        <f t="shared" si="36"/>
        <v>0</v>
      </c>
      <c r="U58" s="935">
        <f t="shared" si="36"/>
        <v>0</v>
      </c>
      <c r="V58" s="935">
        <f t="shared" si="36"/>
        <v>0</v>
      </c>
      <c r="W58" s="935">
        <f t="shared" si="36"/>
        <v>0</v>
      </c>
      <c r="X58" s="936">
        <f t="shared" si="36"/>
        <v>0</v>
      </c>
    </row>
    <row r="59" spans="3:24" ht="19.5" customHeight="1">
      <c r="C59" s="899"/>
      <c r="D59" s="1147">
        <v>2</v>
      </c>
      <c r="E59" s="1147" t="s">
        <v>100</v>
      </c>
      <c r="F59" s="900" t="s">
        <v>115</v>
      </c>
      <c r="G59" s="1628"/>
      <c r="H59" s="983" t="s">
        <v>186</v>
      </c>
      <c r="I59" s="1635"/>
      <c r="J59" s="1633"/>
      <c r="K59" s="901" t="s">
        <v>688</v>
      </c>
      <c r="L59" s="933"/>
      <c r="M59" s="970">
        <v>1.2</v>
      </c>
      <c r="N59" s="970"/>
      <c r="O59" s="970"/>
      <c r="P59" s="970"/>
      <c r="Q59" s="970">
        <v>1.2</v>
      </c>
      <c r="R59" s="970"/>
      <c r="S59" s="970">
        <v>1.2</v>
      </c>
      <c r="T59" s="970"/>
      <c r="U59" s="970"/>
      <c r="V59" s="970"/>
      <c r="W59" s="970"/>
      <c r="X59" s="990"/>
    </row>
    <row r="60" spans="3:24" ht="19.5" customHeight="1" thickBot="1">
      <c r="C60" s="1213"/>
      <c r="D60" s="1214">
        <v>2</v>
      </c>
      <c r="E60" s="1214" t="s">
        <v>100</v>
      </c>
      <c r="F60" s="1215" t="s">
        <v>115</v>
      </c>
      <c r="G60" s="1644"/>
      <c r="H60" s="1217" t="s">
        <v>186</v>
      </c>
      <c r="I60" s="1645"/>
      <c r="J60" s="1633"/>
      <c r="K60" s="1231" t="s">
        <v>569</v>
      </c>
      <c r="L60" s="1232">
        <f t="shared" ref="L60" si="37">SUM(M60:X60)</f>
        <v>312096</v>
      </c>
      <c r="M60" s="1233">
        <f t="shared" ref="M60:X60" si="38">(M58*M59)</f>
        <v>92160</v>
      </c>
      <c r="N60" s="1234">
        <f t="shared" si="38"/>
        <v>0</v>
      </c>
      <c r="O60" s="1234">
        <f t="shared" si="38"/>
        <v>0</v>
      </c>
      <c r="P60" s="1234">
        <f t="shared" si="38"/>
        <v>0</v>
      </c>
      <c r="Q60" s="1234">
        <f t="shared" si="38"/>
        <v>57216</v>
      </c>
      <c r="R60" s="1234">
        <f t="shared" si="38"/>
        <v>0</v>
      </c>
      <c r="S60" s="1234">
        <f t="shared" si="38"/>
        <v>162720</v>
      </c>
      <c r="T60" s="1234">
        <f t="shared" si="38"/>
        <v>0</v>
      </c>
      <c r="U60" s="1234">
        <f t="shared" si="38"/>
        <v>0</v>
      </c>
      <c r="V60" s="1234">
        <f t="shared" si="38"/>
        <v>0</v>
      </c>
      <c r="W60" s="1234">
        <f t="shared" si="38"/>
        <v>0</v>
      </c>
      <c r="X60" s="1235">
        <f t="shared" si="38"/>
        <v>0</v>
      </c>
    </row>
    <row r="61" spans="3:24" ht="20.100000000000001" customHeight="1" collapsed="1">
      <c r="C61" s="890">
        <v>4</v>
      </c>
      <c r="D61" s="891">
        <v>0</v>
      </c>
      <c r="E61" s="891" t="s">
        <v>242</v>
      </c>
      <c r="F61" s="892" t="s">
        <v>116</v>
      </c>
      <c r="G61" s="1637"/>
      <c r="H61" s="1637"/>
      <c r="I61" s="1638">
        <v>1000</v>
      </c>
      <c r="J61" s="1641">
        <f>AVERAGE(M62:X62)</f>
        <v>2</v>
      </c>
      <c r="K61" s="894" t="s">
        <v>682</v>
      </c>
      <c r="L61" s="1227">
        <f>SUM(M61:X61)</f>
        <v>126230</v>
      </c>
      <c r="M61" s="1228">
        <v>54000</v>
      </c>
      <c r="N61" s="1229"/>
      <c r="O61" s="1229">
        <v>12000</v>
      </c>
      <c r="P61" s="1229"/>
      <c r="Q61" s="1229"/>
      <c r="R61" s="1229"/>
      <c r="S61" s="1229">
        <v>60230</v>
      </c>
      <c r="T61" s="1229"/>
      <c r="U61" s="1229"/>
      <c r="V61" s="1229"/>
      <c r="W61" s="1229"/>
      <c r="X61" s="1230"/>
    </row>
    <row r="62" spans="3:24" ht="20.100000000000001" customHeight="1">
      <c r="C62" s="948"/>
      <c r="D62" s="1150">
        <v>0</v>
      </c>
      <c r="E62" s="1150" t="s">
        <v>242</v>
      </c>
      <c r="F62" s="950" t="s">
        <v>116</v>
      </c>
      <c r="G62" s="1617"/>
      <c r="H62" s="1617"/>
      <c r="I62" s="1639"/>
      <c r="J62" s="1621"/>
      <c r="K62" s="881" t="s">
        <v>688</v>
      </c>
      <c r="L62" s="952"/>
      <c r="M62" s="970">
        <f>(M63/M61)</f>
        <v>2</v>
      </c>
      <c r="N62" s="970"/>
      <c r="O62" s="970">
        <f>(O63/O61)</f>
        <v>2</v>
      </c>
      <c r="P62" s="970"/>
      <c r="Q62" s="970"/>
      <c r="R62" s="970"/>
      <c r="S62" s="970">
        <f t="shared" ref="S62" si="39">(S63/S61)</f>
        <v>2</v>
      </c>
      <c r="T62" s="970"/>
      <c r="U62" s="970"/>
      <c r="V62" s="970"/>
      <c r="W62" s="970"/>
      <c r="X62" s="976"/>
    </row>
    <row r="63" spans="3:24" ht="20.100000000000001" customHeight="1" thickBot="1">
      <c r="C63" s="885"/>
      <c r="D63" s="1155">
        <v>0</v>
      </c>
      <c r="E63" s="1155" t="s">
        <v>242</v>
      </c>
      <c r="F63" s="887" t="s">
        <v>116</v>
      </c>
      <c r="G63" s="1618"/>
      <c r="H63" s="1618"/>
      <c r="I63" s="1640"/>
      <c r="J63" s="1622"/>
      <c r="K63" s="888" t="s">
        <v>569</v>
      </c>
      <c r="L63" s="889">
        <f>SUM(M63:X63)</f>
        <v>252460</v>
      </c>
      <c r="M63" s="919">
        <f>SUM(M66)</f>
        <v>108000</v>
      </c>
      <c r="N63" s="974">
        <f t="shared" ref="N63:X63" si="40">SUM(N66)</f>
        <v>0</v>
      </c>
      <c r="O63" s="974">
        <f>SUM(O66)</f>
        <v>24000</v>
      </c>
      <c r="P63" s="974">
        <f t="shared" si="40"/>
        <v>0</v>
      </c>
      <c r="Q63" s="974">
        <f t="shared" si="40"/>
        <v>0</v>
      </c>
      <c r="R63" s="974">
        <f t="shared" si="40"/>
        <v>0</v>
      </c>
      <c r="S63" s="974">
        <f t="shared" si="40"/>
        <v>120460</v>
      </c>
      <c r="T63" s="974">
        <f t="shared" si="40"/>
        <v>0</v>
      </c>
      <c r="U63" s="974">
        <f t="shared" si="40"/>
        <v>0</v>
      </c>
      <c r="V63" s="974">
        <f t="shared" si="40"/>
        <v>0</v>
      </c>
      <c r="W63" s="974">
        <f t="shared" si="40"/>
        <v>0</v>
      </c>
      <c r="X63" s="975">
        <f t="shared" si="40"/>
        <v>0</v>
      </c>
    </row>
    <row r="64" spans="3:24" ht="20.100000000000001" customHeight="1">
      <c r="C64" s="890"/>
      <c r="D64" s="891">
        <v>1</v>
      </c>
      <c r="E64" s="891" t="s">
        <v>100</v>
      </c>
      <c r="F64" s="892" t="s">
        <v>116</v>
      </c>
      <c r="G64" s="1626">
        <v>4</v>
      </c>
      <c r="H64" s="981" t="s">
        <v>148</v>
      </c>
      <c r="I64" s="1642">
        <f>(I61*G64)</f>
        <v>4000</v>
      </c>
      <c r="J64" s="1632">
        <f>AVERAGE(M65:X65)</f>
        <v>0.5</v>
      </c>
      <c r="K64" s="894" t="s">
        <v>682</v>
      </c>
      <c r="L64" s="1204">
        <f>SUM(M64:X64)</f>
        <v>504920</v>
      </c>
      <c r="M64" s="1205">
        <f>(M61*$G64)</f>
        <v>216000</v>
      </c>
      <c r="N64" s="1206">
        <f t="shared" ref="N64:P64" si="41">(N61*$G64)</f>
        <v>0</v>
      </c>
      <c r="O64" s="1206">
        <f>(O61*$G64)</f>
        <v>48000</v>
      </c>
      <c r="P64" s="1206">
        <f t="shared" si="41"/>
        <v>0</v>
      </c>
      <c r="Q64" s="1206">
        <f>(Q61*$G64)</f>
        <v>0</v>
      </c>
      <c r="R64" s="1206">
        <f t="shared" ref="R64" si="42">(R61*$G64)</f>
        <v>0</v>
      </c>
      <c r="S64" s="1206">
        <f>(S61*$G64)</f>
        <v>240920</v>
      </c>
      <c r="T64" s="1206">
        <f t="shared" ref="T64:W64" si="43">(T61*$G64)</f>
        <v>0</v>
      </c>
      <c r="U64" s="1206">
        <f t="shared" si="43"/>
        <v>0</v>
      </c>
      <c r="V64" s="1206">
        <f t="shared" si="43"/>
        <v>0</v>
      </c>
      <c r="W64" s="1206">
        <f t="shared" si="43"/>
        <v>0</v>
      </c>
      <c r="X64" s="1207">
        <f>(X61*$G64)</f>
        <v>0</v>
      </c>
    </row>
    <row r="65" spans="3:24" ht="20.100000000000001" customHeight="1">
      <c r="C65" s="878"/>
      <c r="D65" s="879">
        <v>1</v>
      </c>
      <c r="E65" s="879" t="s">
        <v>100</v>
      </c>
      <c r="F65" s="880" t="s">
        <v>116</v>
      </c>
      <c r="G65" s="1627"/>
      <c r="H65" s="982" t="s">
        <v>148</v>
      </c>
      <c r="I65" s="1643"/>
      <c r="J65" s="1633"/>
      <c r="K65" s="881" t="s">
        <v>688</v>
      </c>
      <c r="L65" s="946"/>
      <c r="M65" s="970">
        <v>0.5</v>
      </c>
      <c r="N65" s="970"/>
      <c r="O65" s="970">
        <v>0.5</v>
      </c>
      <c r="P65" s="970"/>
      <c r="Q65" s="970"/>
      <c r="R65" s="970"/>
      <c r="S65" s="970">
        <v>0.5</v>
      </c>
      <c r="T65" s="970"/>
      <c r="U65" s="970"/>
      <c r="V65" s="970"/>
      <c r="W65" s="970"/>
      <c r="X65" s="990"/>
    </row>
    <row r="66" spans="3:24" ht="20.100000000000001" customHeight="1" thickBot="1">
      <c r="C66" s="1213"/>
      <c r="D66" s="1214">
        <v>1</v>
      </c>
      <c r="E66" s="1214" t="s">
        <v>100</v>
      </c>
      <c r="F66" s="1215" t="s">
        <v>116</v>
      </c>
      <c r="G66" s="1644"/>
      <c r="H66" s="1217" t="s">
        <v>148</v>
      </c>
      <c r="I66" s="1645"/>
      <c r="J66" s="1633"/>
      <c r="K66" s="1231" t="s">
        <v>569</v>
      </c>
      <c r="L66" s="1232">
        <f>SUM(M66:X66)</f>
        <v>252460</v>
      </c>
      <c r="M66" s="1233">
        <f>(M64*M65)</f>
        <v>108000</v>
      </c>
      <c r="N66" s="1234">
        <f t="shared" ref="N66:P66" si="44">(N64*N65)</f>
        <v>0</v>
      </c>
      <c r="O66" s="1234">
        <f>(O64*O65)</f>
        <v>24000</v>
      </c>
      <c r="P66" s="1234">
        <f t="shared" si="44"/>
        <v>0</v>
      </c>
      <c r="Q66" s="1234">
        <f>(Q64*Q65)</f>
        <v>0</v>
      </c>
      <c r="R66" s="1234">
        <f t="shared" ref="R66:X66" si="45">(R64*R65)</f>
        <v>0</v>
      </c>
      <c r="S66" s="1234">
        <f t="shared" si="45"/>
        <v>120460</v>
      </c>
      <c r="T66" s="1234">
        <f t="shared" si="45"/>
        <v>0</v>
      </c>
      <c r="U66" s="1234">
        <f t="shared" si="45"/>
        <v>0</v>
      </c>
      <c r="V66" s="1234">
        <f t="shared" si="45"/>
        <v>0</v>
      </c>
      <c r="W66" s="1234">
        <f t="shared" si="45"/>
        <v>0</v>
      </c>
      <c r="X66" s="1235">
        <f t="shared" si="45"/>
        <v>0</v>
      </c>
    </row>
    <row r="67" spans="3:24" ht="20.100000000000001" customHeight="1" collapsed="1">
      <c r="C67" s="890">
        <v>5</v>
      </c>
      <c r="D67" s="891">
        <v>0</v>
      </c>
      <c r="E67" s="891" t="s">
        <v>242</v>
      </c>
      <c r="F67" s="892" t="s">
        <v>117</v>
      </c>
      <c r="G67" s="1637"/>
      <c r="H67" s="1637"/>
      <c r="I67" s="1646">
        <v>1000</v>
      </c>
      <c r="J67" s="1647">
        <f>AVERAGE(M68:X68)</f>
        <v>0.25</v>
      </c>
      <c r="K67" s="894" t="s">
        <v>682</v>
      </c>
      <c r="L67" s="1225">
        <f>SUM(M67:X67)</f>
        <v>282000</v>
      </c>
      <c r="M67" s="973">
        <v>20000</v>
      </c>
      <c r="N67" s="932"/>
      <c r="O67" s="932">
        <v>14000</v>
      </c>
      <c r="P67" s="932">
        <v>28000</v>
      </c>
      <c r="Q67" s="932">
        <v>34000</v>
      </c>
      <c r="R67" s="932">
        <v>35000</v>
      </c>
      <c r="S67" s="932">
        <v>46000</v>
      </c>
      <c r="T67" s="932">
        <v>45000</v>
      </c>
      <c r="U67" s="932">
        <v>30000</v>
      </c>
      <c r="V67" s="932">
        <v>10000</v>
      </c>
      <c r="W67" s="932">
        <v>10000</v>
      </c>
      <c r="X67" s="1095">
        <v>10000</v>
      </c>
    </row>
    <row r="68" spans="3:24" ht="20.100000000000001" customHeight="1">
      <c r="C68" s="948"/>
      <c r="D68" s="1150">
        <v>0</v>
      </c>
      <c r="E68" s="1150" t="s">
        <v>242</v>
      </c>
      <c r="F68" s="950" t="s">
        <v>117</v>
      </c>
      <c r="G68" s="1617"/>
      <c r="H68" s="1617"/>
      <c r="I68" s="1619"/>
      <c r="J68" s="1648"/>
      <c r="K68" s="881" t="s">
        <v>688</v>
      </c>
      <c r="L68" s="952"/>
      <c r="M68" s="970">
        <f>(M69/M67)</f>
        <v>0.25</v>
      </c>
      <c r="N68" s="970"/>
      <c r="O68" s="970">
        <f t="shared" ref="O68:T68" si="46">(O69/O67)</f>
        <v>0.25</v>
      </c>
      <c r="P68" s="970">
        <f t="shared" si="46"/>
        <v>0.25</v>
      </c>
      <c r="Q68" s="970">
        <f t="shared" si="46"/>
        <v>0.25</v>
      </c>
      <c r="R68" s="970">
        <f t="shared" si="46"/>
        <v>0.25</v>
      </c>
      <c r="S68" s="970">
        <f t="shared" si="46"/>
        <v>0.25</v>
      </c>
      <c r="T68" s="970">
        <f t="shared" si="46"/>
        <v>0.25</v>
      </c>
      <c r="U68" s="970">
        <f t="shared" ref="U68:V68" si="47">(U69/U67)</f>
        <v>0.25</v>
      </c>
      <c r="V68" s="970">
        <f t="shared" si="47"/>
        <v>0.25</v>
      </c>
      <c r="W68" s="970">
        <f t="shared" ref="W68" si="48">(W69/W67)</f>
        <v>0.25</v>
      </c>
      <c r="X68" s="976">
        <f>(X69/X67)</f>
        <v>0.25</v>
      </c>
    </row>
    <row r="69" spans="3:24" ht="20.100000000000001" customHeight="1" thickBot="1">
      <c r="C69" s="885"/>
      <c r="D69" s="1155">
        <v>0</v>
      </c>
      <c r="E69" s="1155" t="s">
        <v>242</v>
      </c>
      <c r="F69" s="887" t="s">
        <v>117</v>
      </c>
      <c r="G69" s="1618"/>
      <c r="H69" s="1618"/>
      <c r="I69" s="1620"/>
      <c r="J69" s="1649"/>
      <c r="K69" s="888" t="s">
        <v>569</v>
      </c>
      <c r="L69" s="889">
        <f>SUM(M69:X69)</f>
        <v>70500</v>
      </c>
      <c r="M69" s="919">
        <f>SUM(M72)</f>
        <v>5000</v>
      </c>
      <c r="N69" s="974">
        <f t="shared" ref="N69:X69" si="49">SUM(N72)</f>
        <v>0</v>
      </c>
      <c r="O69" s="974">
        <f t="shared" si="49"/>
        <v>3500</v>
      </c>
      <c r="P69" s="974">
        <f t="shared" si="49"/>
        <v>7000</v>
      </c>
      <c r="Q69" s="974">
        <f t="shared" si="49"/>
        <v>8500</v>
      </c>
      <c r="R69" s="974">
        <f t="shared" si="49"/>
        <v>8750</v>
      </c>
      <c r="S69" s="974">
        <f t="shared" si="49"/>
        <v>11500</v>
      </c>
      <c r="T69" s="974">
        <f t="shared" si="49"/>
        <v>11250</v>
      </c>
      <c r="U69" s="974">
        <f t="shared" ref="U69:V69" si="50">SUM(U72)</f>
        <v>7500</v>
      </c>
      <c r="V69" s="974">
        <f t="shared" si="50"/>
        <v>2500</v>
      </c>
      <c r="W69" s="974">
        <f t="shared" si="49"/>
        <v>2500</v>
      </c>
      <c r="X69" s="975">
        <f t="shared" si="49"/>
        <v>2500</v>
      </c>
    </row>
    <row r="70" spans="3:24" ht="20.100000000000001" customHeight="1">
      <c r="C70" s="890"/>
      <c r="D70" s="891">
        <v>1</v>
      </c>
      <c r="E70" s="891" t="s">
        <v>100</v>
      </c>
      <c r="F70" s="892" t="s">
        <v>117</v>
      </c>
      <c r="G70" s="1626">
        <v>1</v>
      </c>
      <c r="H70" s="981" t="s">
        <v>204</v>
      </c>
      <c r="I70" s="1629">
        <f>(I67*G70)</f>
        <v>1000</v>
      </c>
      <c r="J70" s="1632">
        <f>AVERAGE(M71:X71)</f>
        <v>0.25</v>
      </c>
      <c r="K70" s="894" t="s">
        <v>682</v>
      </c>
      <c r="L70" s="895">
        <f>SUM(M70:X70)</f>
        <v>282000</v>
      </c>
      <c r="M70" s="923">
        <f>(M67*$G70)</f>
        <v>20000</v>
      </c>
      <c r="N70" s="897">
        <f t="shared" ref="N70:W70" si="51">(N67*$G70)</f>
        <v>0</v>
      </c>
      <c r="O70" s="897">
        <f t="shared" si="51"/>
        <v>14000</v>
      </c>
      <c r="P70" s="897">
        <f t="shared" si="51"/>
        <v>28000</v>
      </c>
      <c r="Q70" s="897">
        <f t="shared" si="51"/>
        <v>34000</v>
      </c>
      <c r="R70" s="897">
        <f t="shared" si="51"/>
        <v>35000</v>
      </c>
      <c r="S70" s="897">
        <f t="shared" si="51"/>
        <v>46000</v>
      </c>
      <c r="T70" s="897">
        <f t="shared" si="51"/>
        <v>45000</v>
      </c>
      <c r="U70" s="897">
        <f t="shared" si="51"/>
        <v>30000</v>
      </c>
      <c r="V70" s="897">
        <f t="shared" si="51"/>
        <v>10000</v>
      </c>
      <c r="W70" s="897">
        <f t="shared" si="51"/>
        <v>10000</v>
      </c>
      <c r="X70" s="898">
        <f>(X67*$G70)</f>
        <v>10000</v>
      </c>
    </row>
    <row r="71" spans="3:24" ht="20.100000000000001" customHeight="1">
      <c r="C71" s="878"/>
      <c r="D71" s="879">
        <v>1</v>
      </c>
      <c r="E71" s="879" t="s">
        <v>100</v>
      </c>
      <c r="F71" s="880" t="s">
        <v>117</v>
      </c>
      <c r="G71" s="1627"/>
      <c r="H71" s="982" t="s">
        <v>204</v>
      </c>
      <c r="I71" s="1630"/>
      <c r="J71" s="1633"/>
      <c r="K71" s="881" t="s">
        <v>688</v>
      </c>
      <c r="L71" s="946"/>
      <c r="M71" s="970">
        <v>0.25</v>
      </c>
      <c r="N71" s="970"/>
      <c r="O71" s="970">
        <v>0.25</v>
      </c>
      <c r="P71" s="970">
        <v>0.25</v>
      </c>
      <c r="Q71" s="970">
        <v>0.25</v>
      </c>
      <c r="R71" s="970">
        <v>0.25</v>
      </c>
      <c r="S71" s="970">
        <v>0.25</v>
      </c>
      <c r="T71" s="970">
        <v>0.25</v>
      </c>
      <c r="U71" s="970">
        <v>0.25</v>
      </c>
      <c r="V71" s="970">
        <v>0.25</v>
      </c>
      <c r="W71" s="970">
        <v>0.25</v>
      </c>
      <c r="X71" s="1212">
        <v>0.25</v>
      </c>
    </row>
    <row r="72" spans="3:24" ht="20.100000000000001" customHeight="1">
      <c r="C72" s="899"/>
      <c r="D72" s="1154">
        <v>1</v>
      </c>
      <c r="E72" s="1154" t="s">
        <v>100</v>
      </c>
      <c r="F72" s="900" t="s">
        <v>117</v>
      </c>
      <c r="G72" s="1628"/>
      <c r="H72" s="983" t="s">
        <v>204</v>
      </c>
      <c r="I72" s="1631"/>
      <c r="J72" s="1634"/>
      <c r="K72" s="901" t="s">
        <v>569</v>
      </c>
      <c r="L72" s="902">
        <f>SUM(M72:X72)</f>
        <v>70500</v>
      </c>
      <c r="M72" s="927">
        <f t="shared" ref="M72:X72" si="52">(M70*M71)</f>
        <v>5000</v>
      </c>
      <c r="N72" s="903">
        <f t="shared" si="52"/>
        <v>0</v>
      </c>
      <c r="O72" s="903">
        <f t="shared" si="52"/>
        <v>3500</v>
      </c>
      <c r="P72" s="903">
        <f t="shared" si="52"/>
        <v>7000</v>
      </c>
      <c r="Q72" s="903">
        <f t="shared" si="52"/>
        <v>8500</v>
      </c>
      <c r="R72" s="903">
        <f t="shared" si="52"/>
        <v>8750</v>
      </c>
      <c r="S72" s="903">
        <f t="shared" si="52"/>
        <v>11500</v>
      </c>
      <c r="T72" s="903">
        <f t="shared" si="52"/>
        <v>11250</v>
      </c>
      <c r="U72" s="903">
        <f t="shared" ref="U72:V72" si="53">(U70*U71)</f>
        <v>7500</v>
      </c>
      <c r="V72" s="903">
        <f t="shared" si="53"/>
        <v>2500</v>
      </c>
      <c r="W72" s="903">
        <f t="shared" si="52"/>
        <v>2500</v>
      </c>
      <c r="X72" s="904">
        <f t="shared" si="52"/>
        <v>2500</v>
      </c>
    </row>
    <row r="73" spans="3:24" ht="20.100000000000001" customHeight="1" collapsed="1"/>
    <row r="74" spans="3:24" ht="15.75" thickBot="1">
      <c r="F74" s="860" t="e">
        <f>(#REF!+#REF!+#REF!+#REF!)</f>
        <v>#REF!</v>
      </c>
      <c r="G74" s="860"/>
      <c r="H74" s="861"/>
      <c r="I74" s="860"/>
      <c r="J74" s="860"/>
      <c r="K74" s="102"/>
      <c r="L74" s="862">
        <f>SUBTOTAL(9,L79:L89)</f>
        <v>2383798.5311080003</v>
      </c>
      <c r="M74" s="862">
        <f>SUBTOTAL(9,M79:M89)</f>
        <v>442877.6796028571</v>
      </c>
      <c r="N74" s="862">
        <f t="shared" ref="N74:X74" si="54">SUBTOTAL(9,N79:N89)</f>
        <v>41006.829615311006</v>
      </c>
      <c r="O74" s="862">
        <f t="shared" si="54"/>
        <v>362333.42894988263</v>
      </c>
      <c r="P74" s="862">
        <f t="shared" si="54"/>
        <v>284010.07661055238</v>
      </c>
      <c r="Q74" s="862">
        <f t="shared" si="54"/>
        <v>415748.08953340258</v>
      </c>
      <c r="R74" s="862">
        <f t="shared" si="54"/>
        <v>115610.43527698632</v>
      </c>
      <c r="S74" s="862">
        <f t="shared" si="54"/>
        <v>593667.39960228582</v>
      </c>
      <c r="T74" s="862">
        <f t="shared" si="54"/>
        <v>54906.557460007207</v>
      </c>
      <c r="U74" s="862">
        <f t="shared" si="54"/>
        <v>7500</v>
      </c>
      <c r="V74" s="862">
        <f t="shared" si="54"/>
        <v>2500</v>
      </c>
      <c r="W74" s="862">
        <f t="shared" si="54"/>
        <v>59718.320171001433</v>
      </c>
      <c r="X74" s="862">
        <f t="shared" si="54"/>
        <v>3919.7142857142858</v>
      </c>
    </row>
    <row r="75" spans="3:24" ht="15" customHeight="1">
      <c r="C75" s="1605" t="s">
        <v>0</v>
      </c>
      <c r="D75" s="1608" t="s">
        <v>94</v>
      </c>
      <c r="E75" s="1608" t="s">
        <v>664</v>
      </c>
      <c r="F75" s="1608" t="s">
        <v>2</v>
      </c>
      <c r="G75" s="1608" t="s">
        <v>665</v>
      </c>
      <c r="H75" s="1623" t="s">
        <v>666</v>
      </c>
      <c r="I75" s="1611" t="s">
        <v>667</v>
      </c>
      <c r="J75" s="1611" t="s">
        <v>668</v>
      </c>
      <c r="K75" s="1614" t="s">
        <v>687</v>
      </c>
      <c r="L75" s="1614" t="s">
        <v>669</v>
      </c>
      <c r="M75" s="863" t="s">
        <v>670</v>
      </c>
      <c r="N75" s="864" t="s">
        <v>671</v>
      </c>
      <c r="O75" s="863" t="s">
        <v>672</v>
      </c>
      <c r="P75" s="864" t="s">
        <v>673</v>
      </c>
      <c r="Q75" s="863" t="s">
        <v>674</v>
      </c>
      <c r="R75" s="864" t="s">
        <v>675</v>
      </c>
      <c r="S75" s="863" t="s">
        <v>676</v>
      </c>
      <c r="T75" s="864" t="s">
        <v>677</v>
      </c>
      <c r="U75" s="863" t="s">
        <v>678</v>
      </c>
      <c r="V75" s="864" t="s">
        <v>679</v>
      </c>
      <c r="W75" s="863" t="s">
        <v>680</v>
      </c>
      <c r="X75" s="865" t="s">
        <v>681</v>
      </c>
    </row>
    <row r="76" spans="3:24" ht="16.5" customHeight="1">
      <c r="C76" s="1606"/>
      <c r="D76" s="1609"/>
      <c r="E76" s="1609"/>
      <c r="F76" s="1609"/>
      <c r="G76" s="1609"/>
      <c r="H76" s="1624"/>
      <c r="I76" s="1612"/>
      <c r="J76" s="1612"/>
      <c r="K76" s="1615"/>
      <c r="L76" s="1615"/>
      <c r="M76" s="866">
        <f t="shared" ref="M76:X76" si="55">WEEKNUM(M77,21)</f>
        <v>1</v>
      </c>
      <c r="N76" s="867">
        <f t="shared" si="55"/>
        <v>5</v>
      </c>
      <c r="O76" s="866">
        <f t="shared" si="55"/>
        <v>9</v>
      </c>
      <c r="P76" s="867">
        <f t="shared" si="55"/>
        <v>14</v>
      </c>
      <c r="Q76" s="866">
        <f t="shared" si="55"/>
        <v>18</v>
      </c>
      <c r="R76" s="867">
        <f t="shared" si="55"/>
        <v>22</v>
      </c>
      <c r="S76" s="866">
        <f t="shared" si="55"/>
        <v>27</v>
      </c>
      <c r="T76" s="867">
        <f t="shared" si="55"/>
        <v>31</v>
      </c>
      <c r="U76" s="866">
        <f t="shared" si="55"/>
        <v>35</v>
      </c>
      <c r="V76" s="867">
        <f t="shared" si="55"/>
        <v>40</v>
      </c>
      <c r="W76" s="866">
        <f t="shared" si="55"/>
        <v>44</v>
      </c>
      <c r="X76" s="868">
        <f t="shared" si="55"/>
        <v>48</v>
      </c>
    </row>
    <row r="77" spans="3:24" ht="15.75" thickBot="1">
      <c r="C77" s="1607"/>
      <c r="D77" s="1610"/>
      <c r="E77" s="1610"/>
      <c r="F77" s="1610"/>
      <c r="G77" s="1610"/>
      <c r="H77" s="1625"/>
      <c r="I77" s="1613"/>
      <c r="J77" s="1613"/>
      <c r="K77" s="1616"/>
      <c r="L77" s="1616"/>
      <c r="M77" s="869">
        <v>45292</v>
      </c>
      <c r="N77" s="870">
        <v>45323</v>
      </c>
      <c r="O77" s="869">
        <v>45352</v>
      </c>
      <c r="P77" s="870">
        <v>45383</v>
      </c>
      <c r="Q77" s="869">
        <v>45413</v>
      </c>
      <c r="R77" s="870">
        <v>45444</v>
      </c>
      <c r="S77" s="869">
        <v>45474</v>
      </c>
      <c r="T77" s="870">
        <v>45505</v>
      </c>
      <c r="U77" s="869">
        <v>45536</v>
      </c>
      <c r="V77" s="870">
        <v>45566</v>
      </c>
      <c r="W77" s="869">
        <v>45597</v>
      </c>
      <c r="X77" s="871">
        <v>45627</v>
      </c>
    </row>
    <row r="79" spans="3:24">
      <c r="H79" s="101" t="s">
        <v>206</v>
      </c>
      <c r="J79" s="954">
        <v>31.68</v>
      </c>
      <c r="K79" s="926" t="s">
        <v>569</v>
      </c>
      <c r="L79" s="902">
        <f t="shared" ref="L79:L84" si="56">SUM(M79:X79)</f>
        <v>44763.839999999997</v>
      </c>
      <c r="M79" s="927">
        <f>(M50)</f>
        <v>0</v>
      </c>
      <c r="N79" s="903">
        <f t="shared" ref="N79:X79" si="57">(N50)</f>
        <v>0</v>
      </c>
      <c r="O79" s="903">
        <f t="shared" si="57"/>
        <v>13725.676799999999</v>
      </c>
      <c r="P79" s="903">
        <f t="shared" si="57"/>
        <v>15824.159999999998</v>
      </c>
      <c r="Q79" s="903">
        <f t="shared" si="57"/>
        <v>12545.279999999999</v>
      </c>
      <c r="R79" s="903">
        <f t="shared" si="57"/>
        <v>2668.7231999999999</v>
      </c>
      <c r="S79" s="903">
        <f t="shared" si="57"/>
        <v>0</v>
      </c>
      <c r="T79" s="903">
        <f t="shared" si="57"/>
        <v>0</v>
      </c>
      <c r="U79" s="903">
        <f t="shared" si="57"/>
        <v>0</v>
      </c>
      <c r="V79" s="903">
        <f t="shared" si="57"/>
        <v>0</v>
      </c>
      <c r="W79" s="903">
        <f t="shared" si="57"/>
        <v>0</v>
      </c>
      <c r="X79" s="904">
        <f t="shared" si="57"/>
        <v>0</v>
      </c>
    </row>
    <row r="80" spans="3:24">
      <c r="H80" s="101" t="s">
        <v>208</v>
      </c>
      <c r="J80" s="954">
        <v>35.298482930822516</v>
      </c>
      <c r="K80" s="926" t="s">
        <v>569</v>
      </c>
      <c r="L80" s="902">
        <f t="shared" si="56"/>
        <v>29786.853232385281</v>
      </c>
      <c r="M80" s="927">
        <f>(M28)</f>
        <v>5459.8224600000012</v>
      </c>
      <c r="N80" s="903">
        <f t="shared" ref="N80:X80" si="58">(N28)</f>
        <v>2316.2883163636366</v>
      </c>
      <c r="O80" s="903">
        <f t="shared" si="58"/>
        <v>5923.0801232727281</v>
      </c>
      <c r="P80" s="903">
        <f t="shared" si="58"/>
        <v>629.46027333333336</v>
      </c>
      <c r="Q80" s="903">
        <f t="shared" si="58"/>
        <v>3088.3125545454545</v>
      </c>
      <c r="R80" s="903">
        <f t="shared" si="58"/>
        <v>4344.2263267272729</v>
      </c>
      <c r="S80" s="903">
        <f t="shared" si="58"/>
        <v>1472.4095428571427</v>
      </c>
      <c r="T80" s="903">
        <f t="shared" si="58"/>
        <v>2311.6829822857139</v>
      </c>
      <c r="U80" s="903">
        <f t="shared" si="58"/>
        <v>0</v>
      </c>
      <c r="V80" s="903">
        <f t="shared" si="58"/>
        <v>0</v>
      </c>
      <c r="W80" s="903">
        <f t="shared" si="58"/>
        <v>4140.0706529999998</v>
      </c>
      <c r="X80" s="904">
        <f t="shared" si="58"/>
        <v>101.49999999999999</v>
      </c>
    </row>
    <row r="81" spans="3:24">
      <c r="H81" s="101" t="s">
        <v>204</v>
      </c>
      <c r="J81" s="955">
        <v>0.25</v>
      </c>
      <c r="K81" s="926" t="s">
        <v>569</v>
      </c>
      <c r="L81" s="902">
        <f t="shared" si="56"/>
        <v>70500</v>
      </c>
      <c r="M81" s="927">
        <f>(M72)</f>
        <v>5000</v>
      </c>
      <c r="N81" s="903">
        <f t="shared" ref="N81:X81" si="59">(N72)</f>
        <v>0</v>
      </c>
      <c r="O81" s="903">
        <f t="shared" si="59"/>
        <v>3500</v>
      </c>
      <c r="P81" s="903">
        <f t="shared" si="59"/>
        <v>7000</v>
      </c>
      <c r="Q81" s="903">
        <f t="shared" si="59"/>
        <v>8500</v>
      </c>
      <c r="R81" s="903">
        <f t="shared" si="59"/>
        <v>8750</v>
      </c>
      <c r="S81" s="903">
        <f t="shared" si="59"/>
        <v>11500</v>
      </c>
      <c r="T81" s="903">
        <f t="shared" si="59"/>
        <v>11250</v>
      </c>
      <c r="U81" s="903">
        <f t="shared" si="59"/>
        <v>7500</v>
      </c>
      <c r="V81" s="903">
        <f t="shared" si="59"/>
        <v>2500</v>
      </c>
      <c r="W81" s="903">
        <f t="shared" si="59"/>
        <v>2500</v>
      </c>
      <c r="X81" s="904">
        <f t="shared" si="59"/>
        <v>2500</v>
      </c>
    </row>
    <row r="82" spans="3:24">
      <c r="H82" s="101" t="s">
        <v>148</v>
      </c>
      <c r="J82" s="955">
        <v>0.5</v>
      </c>
      <c r="K82" s="926" t="s">
        <v>569</v>
      </c>
      <c r="L82" s="902">
        <f t="shared" si="56"/>
        <v>772620</v>
      </c>
      <c r="M82" s="927">
        <f>(M57+M66)</f>
        <v>261600</v>
      </c>
      <c r="N82" s="903">
        <f t="shared" ref="N82:X82" si="60">(N57+N66)</f>
        <v>0</v>
      </c>
      <c r="O82" s="903">
        <f t="shared" si="60"/>
        <v>24000</v>
      </c>
      <c r="P82" s="903">
        <f t="shared" si="60"/>
        <v>0</v>
      </c>
      <c r="Q82" s="903">
        <f t="shared" si="60"/>
        <v>95360</v>
      </c>
      <c r="R82" s="903">
        <f t="shared" si="60"/>
        <v>0</v>
      </c>
      <c r="S82" s="903">
        <f t="shared" si="60"/>
        <v>391660</v>
      </c>
      <c r="T82" s="903">
        <f t="shared" si="60"/>
        <v>0</v>
      </c>
      <c r="U82" s="903">
        <f t="shared" si="60"/>
        <v>0</v>
      </c>
      <c r="V82" s="903">
        <f t="shared" si="60"/>
        <v>0</v>
      </c>
      <c r="W82" s="903">
        <f t="shared" si="60"/>
        <v>0</v>
      </c>
      <c r="X82" s="904">
        <f t="shared" si="60"/>
        <v>0</v>
      </c>
    </row>
    <row r="83" spans="3:24">
      <c r="H83" s="101" t="s">
        <v>685</v>
      </c>
      <c r="J83" s="954">
        <v>25.88020326183306</v>
      </c>
      <c r="K83" s="926" t="s">
        <v>569</v>
      </c>
      <c r="L83" s="902">
        <f t="shared" si="56"/>
        <v>129474.98073275827</v>
      </c>
      <c r="M83" s="927">
        <f>(M31)</f>
        <v>17325</v>
      </c>
      <c r="N83" s="903">
        <f t="shared" ref="N83:X83" si="61">(N31)</f>
        <v>12670.541298947372</v>
      </c>
      <c r="O83" s="903">
        <f t="shared" si="61"/>
        <v>32017.814883752737</v>
      </c>
      <c r="P83" s="903">
        <f t="shared" si="61"/>
        <v>3372.1706229333336</v>
      </c>
      <c r="Q83" s="903">
        <f t="shared" si="61"/>
        <v>12645.639836</v>
      </c>
      <c r="R83" s="903">
        <f t="shared" si="61"/>
        <v>17788.200035973336</v>
      </c>
      <c r="S83" s="903">
        <f t="shared" si="61"/>
        <v>7386.4186308571407</v>
      </c>
      <c r="T83" s="903">
        <f t="shared" si="61"/>
        <v>11627.017334864349</v>
      </c>
      <c r="U83" s="903">
        <f t="shared" si="61"/>
        <v>0</v>
      </c>
      <c r="V83" s="903">
        <f t="shared" si="61"/>
        <v>0</v>
      </c>
      <c r="W83" s="903">
        <f t="shared" si="61"/>
        <v>14274.678089429999</v>
      </c>
      <c r="X83" s="904">
        <f t="shared" si="61"/>
        <v>367.5</v>
      </c>
    </row>
    <row r="84" spans="3:24">
      <c r="H84" s="101" t="s">
        <v>215</v>
      </c>
      <c r="J84" s="954">
        <v>123.21428571428574</v>
      </c>
      <c r="K84" s="926" t="s">
        <v>569</v>
      </c>
      <c r="L84" s="902">
        <f t="shared" si="56"/>
        <v>249974.57142857145</v>
      </c>
      <c r="M84" s="927">
        <f>(M37)</f>
        <v>48085.71428571429</v>
      </c>
      <c r="N84" s="903">
        <f t="shared" ref="N84:X84" si="62">(N37)</f>
        <v>20400</v>
      </c>
      <c r="O84" s="903">
        <f t="shared" si="62"/>
        <v>52165.714285714283</v>
      </c>
      <c r="P84" s="903">
        <f t="shared" si="62"/>
        <v>5828.5714285714284</v>
      </c>
      <c r="Q84" s="903">
        <f t="shared" si="62"/>
        <v>22371.428571428572</v>
      </c>
      <c r="R84" s="903">
        <f t="shared" si="62"/>
        <v>31469.142857142859</v>
      </c>
      <c r="S84" s="903">
        <f t="shared" si="62"/>
        <v>14914.285714285716</v>
      </c>
      <c r="T84" s="903">
        <f t="shared" si="62"/>
        <v>23415.428571428572</v>
      </c>
      <c r="U84" s="903">
        <f t="shared" si="62"/>
        <v>0</v>
      </c>
      <c r="V84" s="903">
        <f t="shared" si="62"/>
        <v>0</v>
      </c>
      <c r="W84" s="903">
        <f t="shared" si="62"/>
        <v>30574.285714285717</v>
      </c>
      <c r="X84" s="904">
        <f t="shared" si="62"/>
        <v>750</v>
      </c>
    </row>
    <row r="85" spans="3:24">
      <c r="H85" s="101" t="s">
        <v>216</v>
      </c>
      <c r="J85" s="953">
        <v>37</v>
      </c>
      <c r="K85" s="881" t="s">
        <v>569</v>
      </c>
      <c r="L85" s="902">
        <f t="shared" ref="L85:L89" si="63">SUM(M85:X85)</f>
        <v>35858.285714285717</v>
      </c>
      <c r="M85" s="927">
        <f>(M40)</f>
        <v>6977.1428571428578</v>
      </c>
      <c r="N85" s="903">
        <f t="shared" ref="N85:X85" si="64">(N40)</f>
        <v>2960</v>
      </c>
      <c r="O85" s="903">
        <f t="shared" si="64"/>
        <v>7569.1428571428587</v>
      </c>
      <c r="P85" s="903">
        <f t="shared" si="64"/>
        <v>845.71428571428578</v>
      </c>
      <c r="Q85" s="903">
        <f t="shared" si="64"/>
        <v>3171.4285714285716</v>
      </c>
      <c r="R85" s="903">
        <f t="shared" si="64"/>
        <v>4461.1428571428578</v>
      </c>
      <c r="S85" s="903">
        <f t="shared" si="64"/>
        <v>2114.2857142857142</v>
      </c>
      <c r="T85" s="903">
        <f t="shared" si="64"/>
        <v>3319.4285714285716</v>
      </c>
      <c r="U85" s="903">
        <f t="shared" si="64"/>
        <v>0</v>
      </c>
      <c r="V85" s="903">
        <f t="shared" si="64"/>
        <v>0</v>
      </c>
      <c r="W85" s="903">
        <f t="shared" si="64"/>
        <v>4334.2857142857147</v>
      </c>
      <c r="X85" s="904">
        <f t="shared" si="64"/>
        <v>105.71428571428572</v>
      </c>
    </row>
    <row r="86" spans="3:24">
      <c r="H86" s="101" t="s">
        <v>217</v>
      </c>
      <c r="J86" s="953">
        <v>1.1999999999999997</v>
      </c>
      <c r="K86" s="901" t="s">
        <v>569</v>
      </c>
      <c r="L86" s="902">
        <f t="shared" si="63"/>
        <v>15264</v>
      </c>
      <c r="M86" s="927">
        <f>(M34)</f>
        <v>2970</v>
      </c>
      <c r="N86" s="903">
        <f t="shared" ref="N86:X86" si="65">(N34)</f>
        <v>1260</v>
      </c>
      <c r="O86" s="903">
        <f t="shared" si="65"/>
        <v>3222</v>
      </c>
      <c r="P86" s="903">
        <f t="shared" si="65"/>
        <v>360</v>
      </c>
      <c r="Q86" s="903">
        <f t="shared" si="65"/>
        <v>1350</v>
      </c>
      <c r="R86" s="903">
        <f t="shared" si="65"/>
        <v>1899</v>
      </c>
      <c r="S86" s="903">
        <f t="shared" si="65"/>
        <v>900</v>
      </c>
      <c r="T86" s="903">
        <f t="shared" si="65"/>
        <v>1413</v>
      </c>
      <c r="U86" s="903">
        <f t="shared" si="65"/>
        <v>0</v>
      </c>
      <c r="V86" s="903">
        <f t="shared" si="65"/>
        <v>0</v>
      </c>
      <c r="W86" s="903">
        <f t="shared" si="65"/>
        <v>1845</v>
      </c>
      <c r="X86" s="904">
        <f t="shared" si="65"/>
        <v>45</v>
      </c>
    </row>
    <row r="87" spans="3:24">
      <c r="H87" s="101" t="s">
        <v>218</v>
      </c>
      <c r="J87" s="953">
        <v>1</v>
      </c>
      <c r="K87" s="901" t="s">
        <v>569</v>
      </c>
      <c r="L87" s="902">
        <f t="shared" si="63"/>
        <v>16960</v>
      </c>
      <c r="M87" s="927">
        <f>(M25)</f>
        <v>3300</v>
      </c>
      <c r="N87" s="903">
        <f t="shared" ref="N87:X87" si="66">(N25)</f>
        <v>1400</v>
      </c>
      <c r="O87" s="903">
        <f t="shared" si="66"/>
        <v>3580</v>
      </c>
      <c r="P87" s="903">
        <f t="shared" si="66"/>
        <v>400</v>
      </c>
      <c r="Q87" s="903">
        <f t="shared" si="66"/>
        <v>1500</v>
      </c>
      <c r="R87" s="903">
        <f t="shared" si="66"/>
        <v>2110</v>
      </c>
      <c r="S87" s="903">
        <f t="shared" si="66"/>
        <v>1000</v>
      </c>
      <c r="T87" s="903">
        <f t="shared" si="66"/>
        <v>1570</v>
      </c>
      <c r="U87" s="903">
        <f t="shared" si="66"/>
        <v>0</v>
      </c>
      <c r="V87" s="903">
        <f t="shared" si="66"/>
        <v>0</v>
      </c>
      <c r="W87" s="903">
        <f t="shared" si="66"/>
        <v>2050</v>
      </c>
      <c r="X87" s="904">
        <f t="shared" si="66"/>
        <v>50</v>
      </c>
    </row>
    <row r="88" spans="3:24" ht="20.100000000000001" customHeight="1">
      <c r="H88" s="101" t="s">
        <v>267</v>
      </c>
      <c r="J88" s="953">
        <v>9</v>
      </c>
      <c r="K88" s="926" t="s">
        <v>569</v>
      </c>
      <c r="L88" s="902">
        <f t="shared" si="63"/>
        <v>706500</v>
      </c>
      <c r="M88" s="927">
        <f>(M47)</f>
        <v>0</v>
      </c>
      <c r="N88" s="903">
        <f t="shared" ref="N88:X88" si="67">(N47)</f>
        <v>0</v>
      </c>
      <c r="O88" s="903">
        <f t="shared" si="67"/>
        <v>216630</v>
      </c>
      <c r="P88" s="903">
        <f t="shared" si="67"/>
        <v>249750</v>
      </c>
      <c r="Q88" s="903">
        <f t="shared" si="67"/>
        <v>198000</v>
      </c>
      <c r="R88" s="903">
        <f t="shared" si="67"/>
        <v>42120</v>
      </c>
      <c r="S88" s="903">
        <f t="shared" si="67"/>
        <v>0</v>
      </c>
      <c r="T88" s="903">
        <f t="shared" si="67"/>
        <v>0</v>
      </c>
      <c r="U88" s="903">
        <f t="shared" si="67"/>
        <v>0</v>
      </c>
      <c r="V88" s="903">
        <f t="shared" si="67"/>
        <v>0</v>
      </c>
      <c r="W88" s="903">
        <f t="shared" si="67"/>
        <v>0</v>
      </c>
      <c r="X88" s="904">
        <f t="shared" si="67"/>
        <v>0</v>
      </c>
    </row>
    <row r="89" spans="3:24" ht="20.100000000000001" customHeight="1">
      <c r="H89" s="101" t="s">
        <v>186</v>
      </c>
      <c r="J89" s="953">
        <v>1.2</v>
      </c>
      <c r="K89" s="901" t="s">
        <v>569</v>
      </c>
      <c r="L89" s="902">
        <f t="shared" si="63"/>
        <v>312096</v>
      </c>
      <c r="M89" s="927">
        <f>(M60)</f>
        <v>92160</v>
      </c>
      <c r="N89" s="903">
        <f t="shared" ref="N89:X89" si="68">(N60)</f>
        <v>0</v>
      </c>
      <c r="O89" s="903">
        <f t="shared" si="68"/>
        <v>0</v>
      </c>
      <c r="P89" s="903">
        <f t="shared" si="68"/>
        <v>0</v>
      </c>
      <c r="Q89" s="903">
        <f t="shared" si="68"/>
        <v>57216</v>
      </c>
      <c r="R89" s="903">
        <f t="shared" si="68"/>
        <v>0</v>
      </c>
      <c r="S89" s="903">
        <f t="shared" si="68"/>
        <v>162720</v>
      </c>
      <c r="T89" s="903">
        <f t="shared" si="68"/>
        <v>0</v>
      </c>
      <c r="U89" s="903">
        <f t="shared" si="68"/>
        <v>0</v>
      </c>
      <c r="V89" s="903">
        <f t="shared" si="68"/>
        <v>0</v>
      </c>
      <c r="W89" s="903">
        <f t="shared" si="68"/>
        <v>0</v>
      </c>
      <c r="X89" s="904">
        <f t="shared" si="68"/>
        <v>0</v>
      </c>
    </row>
    <row r="90" spans="3:24" ht="18" customHeight="1"/>
    <row r="91" spans="3:24" ht="15.75" thickBot="1">
      <c r="F91" s="860" t="e">
        <f>(#REF!+#REF!+#REF!+#REF!)</f>
        <v>#REF!</v>
      </c>
      <c r="G91" s="860"/>
      <c r="H91" s="861"/>
      <c r="I91" s="860"/>
      <c r="J91" s="860"/>
      <c r="K91" s="102"/>
      <c r="L91" s="862">
        <f>SUBTOTAL(9,L96:L107)</f>
        <v>563524.53644444444</v>
      </c>
      <c r="M91" s="862">
        <f>SUBTOTAL(9,M96:M107)</f>
        <v>105636.78909999999</v>
      </c>
      <c r="N91" s="862">
        <f t="shared" ref="N91:X91" si="69">SUBTOTAL(9,N96:N107)</f>
        <v>44905.273544444441</v>
      </c>
      <c r="O91" s="862">
        <f t="shared" si="69"/>
        <v>114586.69665555554</v>
      </c>
      <c r="P91" s="862">
        <f t="shared" si="69"/>
        <v>12941.317988888886</v>
      </c>
      <c r="Q91" s="862">
        <f t="shared" si="69"/>
        <v>48101.669099999999</v>
      </c>
      <c r="R91" s="862">
        <f t="shared" si="69"/>
        <v>67599.681988888886</v>
      </c>
      <c r="S91" s="862">
        <f t="shared" si="69"/>
        <v>32119.691322222221</v>
      </c>
      <c r="T91" s="862">
        <f t="shared" si="69"/>
        <v>50339.145988888886</v>
      </c>
      <c r="U91" s="862">
        <f t="shared" si="69"/>
        <v>2066.1571111111107</v>
      </c>
      <c r="V91" s="862">
        <f t="shared" si="69"/>
        <v>19646.332666666662</v>
      </c>
      <c r="W91" s="862">
        <f t="shared" si="69"/>
        <v>65681.844655555557</v>
      </c>
      <c r="X91" s="862">
        <f t="shared" si="69"/>
        <v>1753.9335444444441</v>
      </c>
    </row>
    <row r="92" spans="3:24" ht="15" customHeight="1">
      <c r="C92" s="1605" t="s">
        <v>0</v>
      </c>
      <c r="D92" s="1608" t="s">
        <v>94</v>
      </c>
      <c r="E92" s="1608" t="s">
        <v>664</v>
      </c>
      <c r="F92" s="1608" t="s">
        <v>2</v>
      </c>
      <c r="G92" s="1608" t="s">
        <v>665</v>
      </c>
      <c r="H92" s="1623" t="s">
        <v>666</v>
      </c>
      <c r="I92" s="1611" t="s">
        <v>667</v>
      </c>
      <c r="J92" s="1611" t="s">
        <v>668</v>
      </c>
      <c r="K92" s="1614" t="s">
        <v>75</v>
      </c>
      <c r="L92" s="1614" t="s">
        <v>669</v>
      </c>
      <c r="M92" s="863" t="s">
        <v>670</v>
      </c>
      <c r="N92" s="864" t="s">
        <v>671</v>
      </c>
      <c r="O92" s="863" t="s">
        <v>672</v>
      </c>
      <c r="P92" s="864" t="s">
        <v>673</v>
      </c>
      <c r="Q92" s="863" t="s">
        <v>674</v>
      </c>
      <c r="R92" s="864" t="s">
        <v>675</v>
      </c>
      <c r="S92" s="863" t="s">
        <v>676</v>
      </c>
      <c r="T92" s="864" t="s">
        <v>677</v>
      </c>
      <c r="U92" s="863" t="s">
        <v>678</v>
      </c>
      <c r="V92" s="864" t="s">
        <v>679</v>
      </c>
      <c r="W92" s="863" t="s">
        <v>680</v>
      </c>
      <c r="X92" s="865" t="s">
        <v>681</v>
      </c>
    </row>
    <row r="93" spans="3:24" ht="16.5" customHeight="1">
      <c r="C93" s="1606"/>
      <c r="D93" s="1609"/>
      <c r="E93" s="1609"/>
      <c r="F93" s="1609"/>
      <c r="G93" s="1609"/>
      <c r="H93" s="1624"/>
      <c r="I93" s="1612"/>
      <c r="J93" s="1612"/>
      <c r="K93" s="1615"/>
      <c r="L93" s="1615"/>
      <c r="M93" s="1092">
        <f t="shared" ref="M93:X93" si="70">WEEKNUM(M94,21)</f>
        <v>1</v>
      </c>
      <c r="N93" s="1093">
        <f t="shared" si="70"/>
        <v>5</v>
      </c>
      <c r="O93" s="1092">
        <f t="shared" si="70"/>
        <v>9</v>
      </c>
      <c r="P93" s="1093">
        <f t="shared" si="70"/>
        <v>14</v>
      </c>
      <c r="Q93" s="1092">
        <f t="shared" si="70"/>
        <v>18</v>
      </c>
      <c r="R93" s="1093">
        <f t="shared" si="70"/>
        <v>22</v>
      </c>
      <c r="S93" s="1092">
        <f t="shared" si="70"/>
        <v>27</v>
      </c>
      <c r="T93" s="1093">
        <f t="shared" si="70"/>
        <v>31</v>
      </c>
      <c r="U93" s="1092">
        <f t="shared" si="70"/>
        <v>35</v>
      </c>
      <c r="V93" s="1093">
        <f t="shared" si="70"/>
        <v>40</v>
      </c>
      <c r="W93" s="1092">
        <f t="shared" si="70"/>
        <v>44</v>
      </c>
      <c r="X93" s="1094">
        <f t="shared" si="70"/>
        <v>48</v>
      </c>
    </row>
    <row r="94" spans="3:24" ht="15.75" thickBot="1">
      <c r="C94" s="1607"/>
      <c r="D94" s="1610"/>
      <c r="E94" s="1610"/>
      <c r="F94" s="1610"/>
      <c r="G94" s="1610"/>
      <c r="H94" s="1625"/>
      <c r="I94" s="1613"/>
      <c r="J94" s="1613"/>
      <c r="K94" s="1616"/>
      <c r="L94" s="1616"/>
      <c r="M94" s="869">
        <v>45292</v>
      </c>
      <c r="N94" s="870">
        <v>45323</v>
      </c>
      <c r="O94" s="869">
        <v>45352</v>
      </c>
      <c r="P94" s="870">
        <v>45383</v>
      </c>
      <c r="Q94" s="869">
        <v>45413</v>
      </c>
      <c r="R94" s="870">
        <v>45444</v>
      </c>
      <c r="S94" s="869">
        <v>45474</v>
      </c>
      <c r="T94" s="870">
        <v>45505</v>
      </c>
      <c r="U94" s="869">
        <v>45536</v>
      </c>
      <c r="V94" s="870">
        <v>45566</v>
      </c>
      <c r="W94" s="869">
        <v>45597</v>
      </c>
      <c r="X94" s="871">
        <v>45627</v>
      </c>
    </row>
    <row r="95" spans="3:24" ht="9.75" customHeight="1" thickBot="1">
      <c r="C95" s="872"/>
      <c r="D95" s="873"/>
      <c r="E95" s="873"/>
      <c r="F95" s="874"/>
      <c r="G95" s="874"/>
      <c r="H95" s="875"/>
      <c r="I95" s="874"/>
      <c r="J95" s="874"/>
      <c r="K95" s="874"/>
      <c r="L95" s="874"/>
      <c r="M95" s="873"/>
      <c r="N95" s="876"/>
      <c r="O95" s="876"/>
      <c r="P95" s="876"/>
      <c r="Q95" s="876"/>
      <c r="R95" s="876"/>
      <c r="S95" s="876"/>
      <c r="T95" s="876"/>
      <c r="U95" s="876"/>
      <c r="V95" s="876"/>
      <c r="W95" s="876"/>
      <c r="X95" s="877"/>
    </row>
    <row r="96" spans="3:24" ht="20.100000000000001" customHeight="1" collapsed="1">
      <c r="C96" s="878">
        <v>4</v>
      </c>
      <c r="D96" s="879">
        <v>0</v>
      </c>
      <c r="E96" s="879" t="s">
        <v>242</v>
      </c>
      <c r="F96" s="880" t="s">
        <v>684</v>
      </c>
      <c r="G96" s="1617"/>
      <c r="H96" s="1617"/>
      <c r="I96" s="1619">
        <v>1000</v>
      </c>
      <c r="J96" s="1621">
        <f>AVERAGE(M97:X97)</f>
        <v>7.4159888888888883</v>
      </c>
      <c r="K96" s="881" t="s">
        <v>682</v>
      </c>
      <c r="L96" s="882">
        <f>SUM(M96:X96)</f>
        <v>35260</v>
      </c>
      <c r="M96" s="987">
        <f t="shared" ref="M96:X96" si="71">(M20)</f>
        <v>6600</v>
      </c>
      <c r="N96" s="883">
        <f t="shared" si="71"/>
        <v>2800</v>
      </c>
      <c r="O96" s="883">
        <f t="shared" si="71"/>
        <v>7160</v>
      </c>
      <c r="P96" s="883">
        <f t="shared" si="71"/>
        <v>800</v>
      </c>
      <c r="Q96" s="883">
        <f t="shared" si="71"/>
        <v>3000</v>
      </c>
      <c r="R96" s="883">
        <f t="shared" si="71"/>
        <v>4220</v>
      </c>
      <c r="S96" s="883">
        <f t="shared" si="71"/>
        <v>2000</v>
      </c>
      <c r="T96" s="883">
        <f t="shared" si="71"/>
        <v>3140</v>
      </c>
      <c r="U96" s="883">
        <f t="shared" si="71"/>
        <v>120</v>
      </c>
      <c r="V96" s="883">
        <f t="shared" si="71"/>
        <v>1220</v>
      </c>
      <c r="W96" s="883">
        <f t="shared" si="71"/>
        <v>4100</v>
      </c>
      <c r="X96" s="991">
        <f t="shared" si="71"/>
        <v>100</v>
      </c>
    </row>
    <row r="97" spans="3:24" ht="20.100000000000001" customHeight="1">
      <c r="C97" s="948"/>
      <c r="D97" s="1149">
        <v>0</v>
      </c>
      <c r="E97" s="1149"/>
      <c r="F97" s="950" t="s">
        <v>684</v>
      </c>
      <c r="G97" s="1617"/>
      <c r="H97" s="1617"/>
      <c r="I97" s="1619"/>
      <c r="J97" s="1621"/>
      <c r="K97" s="881" t="s">
        <v>688</v>
      </c>
      <c r="L97" s="952"/>
      <c r="M97" s="970">
        <f>(M98/M96)</f>
        <v>7.4159888888888874</v>
      </c>
      <c r="N97" s="970">
        <f t="shared" ref="N97:T97" si="72">(N98/N96)</f>
        <v>7.4159888888888883</v>
      </c>
      <c r="O97" s="970">
        <f t="shared" si="72"/>
        <v>7.4159888888888883</v>
      </c>
      <c r="P97" s="970">
        <f t="shared" si="72"/>
        <v>7.4159888888888874</v>
      </c>
      <c r="Q97" s="970">
        <f t="shared" si="72"/>
        <v>7.4159888888888874</v>
      </c>
      <c r="R97" s="970">
        <f t="shared" si="72"/>
        <v>7.4159888888888883</v>
      </c>
      <c r="S97" s="970">
        <f t="shared" si="72"/>
        <v>7.4159888888888883</v>
      </c>
      <c r="T97" s="970">
        <f t="shared" si="72"/>
        <v>7.4159888888888874</v>
      </c>
      <c r="U97" s="970"/>
      <c r="V97" s="970"/>
      <c r="W97" s="970">
        <f t="shared" ref="W97" si="73">(W98/W96)</f>
        <v>7.4159888888888883</v>
      </c>
      <c r="X97" s="976">
        <f>(X98/X96)</f>
        <v>7.4159888888888874</v>
      </c>
    </row>
    <row r="98" spans="3:24" ht="20.100000000000001" customHeight="1" thickBot="1">
      <c r="C98" s="885"/>
      <c r="D98" s="1148">
        <v>0</v>
      </c>
      <c r="E98" s="1148" t="s">
        <v>242</v>
      </c>
      <c r="F98" s="887" t="s">
        <v>684</v>
      </c>
      <c r="G98" s="1618"/>
      <c r="H98" s="1618"/>
      <c r="I98" s="1620"/>
      <c r="J98" s="1622"/>
      <c r="K98" s="888" t="s">
        <v>569</v>
      </c>
      <c r="L98" s="889">
        <f>SUM(M98:X98)</f>
        <v>261487.76822222222</v>
      </c>
      <c r="M98" s="919">
        <f>SUM(+M101+M104+M107)</f>
        <v>48945.526666666658</v>
      </c>
      <c r="N98" s="974">
        <f t="shared" ref="N98:X98" si="74">SUM(+N101+N104+N107)</f>
        <v>20764.768888888888</v>
      </c>
      <c r="O98" s="974">
        <f t="shared" si="74"/>
        <v>53098.480444444438</v>
      </c>
      <c r="P98" s="974">
        <f t="shared" si="74"/>
        <v>5932.7911111111098</v>
      </c>
      <c r="Q98" s="974">
        <f t="shared" si="74"/>
        <v>22247.966666666664</v>
      </c>
      <c r="R98" s="974">
        <f t="shared" si="74"/>
        <v>31295.47311111111</v>
      </c>
      <c r="S98" s="974">
        <f t="shared" si="74"/>
        <v>14831.977777777776</v>
      </c>
      <c r="T98" s="974">
        <f t="shared" si="74"/>
        <v>23286.205111111107</v>
      </c>
      <c r="U98" s="974">
        <f t="shared" si="74"/>
        <v>889.91866666666658</v>
      </c>
      <c r="V98" s="974">
        <f t="shared" si="74"/>
        <v>9047.5064444444433</v>
      </c>
      <c r="W98" s="974">
        <f t="shared" si="74"/>
        <v>30405.554444444442</v>
      </c>
      <c r="X98" s="975">
        <f t="shared" si="74"/>
        <v>741.59888888888872</v>
      </c>
    </row>
    <row r="99" spans="3:24" s="101" customFormat="1" ht="20.100000000000001" customHeight="1">
      <c r="C99" s="899"/>
      <c r="D99" s="1154">
        <v>8</v>
      </c>
      <c r="E99" s="1154" t="s">
        <v>100</v>
      </c>
      <c r="F99" s="900" t="s">
        <v>684</v>
      </c>
      <c r="G99" s="1650">
        <f>1/20</f>
        <v>0.05</v>
      </c>
      <c r="H99" s="983" t="s">
        <v>689</v>
      </c>
      <c r="I99" s="1651">
        <f>(I96*G99)</f>
        <v>50</v>
      </c>
      <c r="J99" s="1652">
        <f>AVERAGE(M100:X100)</f>
        <v>15</v>
      </c>
      <c r="K99" s="901" t="s">
        <v>682</v>
      </c>
      <c r="L99" s="911">
        <f>SUM(M99:X99)</f>
        <v>1763</v>
      </c>
      <c r="M99" s="912">
        <f>(M96*$G99)</f>
        <v>330</v>
      </c>
      <c r="N99" s="913">
        <f t="shared" ref="N99:X99" si="75">(N96*$G99)</f>
        <v>140</v>
      </c>
      <c r="O99" s="913">
        <f t="shared" si="75"/>
        <v>358</v>
      </c>
      <c r="P99" s="913">
        <f t="shared" si="75"/>
        <v>40</v>
      </c>
      <c r="Q99" s="913">
        <f t="shared" si="75"/>
        <v>150</v>
      </c>
      <c r="R99" s="913">
        <f t="shared" si="75"/>
        <v>211</v>
      </c>
      <c r="S99" s="913">
        <f t="shared" si="75"/>
        <v>100</v>
      </c>
      <c r="T99" s="913">
        <f t="shared" si="75"/>
        <v>157</v>
      </c>
      <c r="U99" s="913">
        <f t="shared" si="75"/>
        <v>6</v>
      </c>
      <c r="V99" s="913">
        <f t="shared" si="75"/>
        <v>61</v>
      </c>
      <c r="W99" s="913">
        <f t="shared" si="75"/>
        <v>205</v>
      </c>
      <c r="X99" s="914">
        <f t="shared" si="75"/>
        <v>5</v>
      </c>
    </row>
    <row r="100" spans="3:24" s="101" customFormat="1" ht="20.100000000000001" customHeight="1">
      <c r="C100" s="899"/>
      <c r="D100" s="1154">
        <v>8</v>
      </c>
      <c r="E100" s="1154" t="s">
        <v>100</v>
      </c>
      <c r="F100" s="900" t="s">
        <v>684</v>
      </c>
      <c r="G100" s="1650"/>
      <c r="H100" s="983" t="s">
        <v>689</v>
      </c>
      <c r="I100" s="1651"/>
      <c r="J100" s="1652"/>
      <c r="K100" s="901" t="s">
        <v>688</v>
      </c>
      <c r="L100" s="911"/>
      <c r="M100" s="970">
        <v>15</v>
      </c>
      <c r="N100" s="970">
        <v>15</v>
      </c>
      <c r="O100" s="970">
        <v>15</v>
      </c>
      <c r="P100" s="970">
        <v>15</v>
      </c>
      <c r="Q100" s="970">
        <v>15</v>
      </c>
      <c r="R100" s="970">
        <v>15</v>
      </c>
      <c r="S100" s="970">
        <v>15</v>
      </c>
      <c r="T100" s="970">
        <v>15</v>
      </c>
      <c r="U100" s="970">
        <v>15</v>
      </c>
      <c r="V100" s="970">
        <v>15</v>
      </c>
      <c r="W100" s="970">
        <v>15</v>
      </c>
      <c r="X100" s="976">
        <v>15</v>
      </c>
    </row>
    <row r="101" spans="3:24" s="101" customFormat="1" ht="20.100000000000001" customHeight="1">
      <c r="C101" s="899"/>
      <c r="D101" s="1154">
        <v>8</v>
      </c>
      <c r="E101" s="1154" t="s">
        <v>100</v>
      </c>
      <c r="F101" s="900" t="s">
        <v>684</v>
      </c>
      <c r="G101" s="1650"/>
      <c r="H101" s="983" t="s">
        <v>689</v>
      </c>
      <c r="I101" s="1651"/>
      <c r="J101" s="1652"/>
      <c r="K101" s="901" t="s">
        <v>569</v>
      </c>
      <c r="L101" s="902">
        <f>SUM(M101:X101)</f>
        <v>26445</v>
      </c>
      <c r="M101" s="927">
        <f>(M99*M100)</f>
        <v>4950</v>
      </c>
      <c r="N101" s="903">
        <f t="shared" ref="N101" si="76">(N99*N100)</f>
        <v>2100</v>
      </c>
      <c r="O101" s="903">
        <f>(O99*O100)</f>
        <v>5370</v>
      </c>
      <c r="P101" s="903">
        <f t="shared" ref="P101:W101" si="77">(P99*P100)</f>
        <v>600</v>
      </c>
      <c r="Q101" s="903">
        <f t="shared" si="77"/>
        <v>2250</v>
      </c>
      <c r="R101" s="903">
        <f t="shared" si="77"/>
        <v>3165</v>
      </c>
      <c r="S101" s="903">
        <f t="shared" si="77"/>
        <v>1500</v>
      </c>
      <c r="T101" s="903">
        <f t="shared" si="77"/>
        <v>2355</v>
      </c>
      <c r="U101" s="903">
        <f t="shared" si="77"/>
        <v>90</v>
      </c>
      <c r="V101" s="903">
        <f t="shared" si="77"/>
        <v>915</v>
      </c>
      <c r="W101" s="903">
        <f t="shared" si="77"/>
        <v>3075</v>
      </c>
      <c r="X101" s="904">
        <f>(X99*X100)</f>
        <v>75</v>
      </c>
    </row>
    <row r="102" spans="3:24" ht="20.100000000000001" customHeight="1">
      <c r="C102" s="899"/>
      <c r="D102" s="1154">
        <v>9</v>
      </c>
      <c r="E102" s="1154" t="s">
        <v>100</v>
      </c>
      <c r="F102" s="900" t="s">
        <v>684</v>
      </c>
      <c r="G102" s="1650">
        <f>1/20</f>
        <v>0.05</v>
      </c>
      <c r="H102" s="983" t="s">
        <v>690</v>
      </c>
      <c r="I102" s="1651">
        <f>(I96*G102)</f>
        <v>50</v>
      </c>
      <c r="J102" s="1652">
        <f>AVERAGE(M103:X103)</f>
        <v>2.2397777777777779</v>
      </c>
      <c r="K102" s="901" t="s">
        <v>682</v>
      </c>
      <c r="L102" s="911">
        <f>SUM(M102:X102)</f>
        <v>1763</v>
      </c>
      <c r="M102" s="912">
        <f>M96*$G102</f>
        <v>330</v>
      </c>
      <c r="N102" s="913">
        <f t="shared" ref="N102:X102" si="78">N96*$G102</f>
        <v>140</v>
      </c>
      <c r="O102" s="913">
        <f t="shared" si="78"/>
        <v>358</v>
      </c>
      <c r="P102" s="913">
        <f t="shared" si="78"/>
        <v>40</v>
      </c>
      <c r="Q102" s="913">
        <f t="shared" si="78"/>
        <v>150</v>
      </c>
      <c r="R102" s="913">
        <f t="shared" si="78"/>
        <v>211</v>
      </c>
      <c r="S102" s="913">
        <f t="shared" si="78"/>
        <v>100</v>
      </c>
      <c r="T102" s="913">
        <f t="shared" si="78"/>
        <v>157</v>
      </c>
      <c r="U102" s="913">
        <f t="shared" si="78"/>
        <v>6</v>
      </c>
      <c r="V102" s="913">
        <f t="shared" si="78"/>
        <v>61</v>
      </c>
      <c r="W102" s="913">
        <f t="shared" si="78"/>
        <v>205</v>
      </c>
      <c r="X102" s="914">
        <f t="shared" si="78"/>
        <v>5</v>
      </c>
    </row>
    <row r="103" spans="3:24" ht="20.100000000000001" customHeight="1">
      <c r="C103" s="899"/>
      <c r="D103" s="1154">
        <v>9</v>
      </c>
      <c r="E103" s="1154" t="s">
        <v>100</v>
      </c>
      <c r="F103" s="900" t="s">
        <v>684</v>
      </c>
      <c r="G103" s="1650"/>
      <c r="H103" s="983" t="s">
        <v>690</v>
      </c>
      <c r="I103" s="1651"/>
      <c r="J103" s="1652"/>
      <c r="K103" s="901" t="s">
        <v>688</v>
      </c>
      <c r="L103" s="911"/>
      <c r="M103" s="234">
        <f>((19000*1.16)+(4500*17.5))/45000</f>
        <v>2.2397777777777779</v>
      </c>
      <c r="N103" s="970">
        <f t="shared" ref="N103:X103" si="79">((19000*1.16)+(4500*17.5))/45000</f>
        <v>2.2397777777777779</v>
      </c>
      <c r="O103" s="970">
        <f t="shared" si="79"/>
        <v>2.2397777777777779</v>
      </c>
      <c r="P103" s="970">
        <f t="shared" si="79"/>
        <v>2.2397777777777779</v>
      </c>
      <c r="Q103" s="970">
        <f t="shared" si="79"/>
        <v>2.2397777777777779</v>
      </c>
      <c r="R103" s="970">
        <f t="shared" si="79"/>
        <v>2.2397777777777779</v>
      </c>
      <c r="S103" s="970">
        <f t="shared" si="79"/>
        <v>2.2397777777777779</v>
      </c>
      <c r="T103" s="970">
        <f t="shared" si="79"/>
        <v>2.2397777777777779</v>
      </c>
      <c r="U103" s="970">
        <f t="shared" si="79"/>
        <v>2.2397777777777779</v>
      </c>
      <c r="V103" s="970">
        <f t="shared" si="79"/>
        <v>2.2397777777777779</v>
      </c>
      <c r="W103" s="970">
        <f t="shared" si="79"/>
        <v>2.2397777777777779</v>
      </c>
      <c r="X103" s="976">
        <f t="shared" si="79"/>
        <v>2.2397777777777779</v>
      </c>
    </row>
    <row r="104" spans="3:24" ht="20.100000000000001" customHeight="1">
      <c r="C104" s="899"/>
      <c r="D104" s="1154">
        <v>9</v>
      </c>
      <c r="E104" s="1154" t="s">
        <v>100</v>
      </c>
      <c r="F104" s="900" t="s">
        <v>684</v>
      </c>
      <c r="G104" s="1650"/>
      <c r="H104" s="983" t="s">
        <v>690</v>
      </c>
      <c r="I104" s="1651"/>
      <c r="J104" s="1652"/>
      <c r="K104" s="901" t="s">
        <v>569</v>
      </c>
      <c r="L104" s="902">
        <f>SUM(M104:X104)</f>
        <v>3948.7282222222225</v>
      </c>
      <c r="M104" s="927">
        <f>(M102*M103)</f>
        <v>739.12666666666667</v>
      </c>
      <c r="N104" s="903">
        <f t="shared" ref="N104:X104" si="80">(N102*N103)</f>
        <v>313.56888888888892</v>
      </c>
      <c r="O104" s="903">
        <f t="shared" si="80"/>
        <v>801.84044444444453</v>
      </c>
      <c r="P104" s="903">
        <f t="shared" si="80"/>
        <v>89.591111111111118</v>
      </c>
      <c r="Q104" s="903">
        <f t="shared" si="80"/>
        <v>335.9666666666667</v>
      </c>
      <c r="R104" s="903">
        <f t="shared" si="80"/>
        <v>472.59311111111111</v>
      </c>
      <c r="S104" s="903">
        <f t="shared" si="80"/>
        <v>223.97777777777779</v>
      </c>
      <c r="T104" s="903">
        <f t="shared" si="80"/>
        <v>351.64511111111113</v>
      </c>
      <c r="U104" s="903">
        <f t="shared" si="80"/>
        <v>13.438666666666666</v>
      </c>
      <c r="V104" s="903">
        <f t="shared" si="80"/>
        <v>136.62644444444445</v>
      </c>
      <c r="W104" s="903">
        <f t="shared" si="80"/>
        <v>459.15444444444444</v>
      </c>
      <c r="X104" s="904">
        <f t="shared" si="80"/>
        <v>11.19888888888889</v>
      </c>
    </row>
    <row r="105" spans="3:24" ht="20.100000000000001" customHeight="1" collapsed="1">
      <c r="C105" s="899"/>
      <c r="D105" s="1154">
        <v>10</v>
      </c>
      <c r="E105" s="1154" t="s">
        <v>100</v>
      </c>
      <c r="F105" s="900" t="s">
        <v>684</v>
      </c>
      <c r="G105" s="1653">
        <f>1/20</f>
        <v>0.05</v>
      </c>
      <c r="H105" s="983" t="s">
        <v>686</v>
      </c>
      <c r="I105" s="1654">
        <f>(I96*G105)</f>
        <v>50</v>
      </c>
      <c r="J105" s="1657">
        <f>AVERAGE(M106:X106)</f>
        <v>131.07999999999996</v>
      </c>
      <c r="K105" s="926" t="s">
        <v>682</v>
      </c>
      <c r="L105" s="911">
        <f t="shared" ref="L105" si="81">SUM(M105:X105)</f>
        <v>1763</v>
      </c>
      <c r="M105" s="929">
        <f>(M96*$G105)</f>
        <v>330</v>
      </c>
      <c r="N105" s="930">
        <f t="shared" ref="N105:X105" si="82">(N96*$G105)</f>
        <v>140</v>
      </c>
      <c r="O105" s="930">
        <f t="shared" si="82"/>
        <v>358</v>
      </c>
      <c r="P105" s="930">
        <f t="shared" si="82"/>
        <v>40</v>
      </c>
      <c r="Q105" s="930">
        <f t="shared" si="82"/>
        <v>150</v>
      </c>
      <c r="R105" s="930">
        <f t="shared" si="82"/>
        <v>211</v>
      </c>
      <c r="S105" s="930">
        <f t="shared" si="82"/>
        <v>100</v>
      </c>
      <c r="T105" s="930">
        <f t="shared" si="82"/>
        <v>157</v>
      </c>
      <c r="U105" s="930">
        <f t="shared" si="82"/>
        <v>6</v>
      </c>
      <c r="V105" s="930">
        <f t="shared" si="82"/>
        <v>61</v>
      </c>
      <c r="W105" s="930">
        <f t="shared" si="82"/>
        <v>205</v>
      </c>
      <c r="X105" s="931">
        <f t="shared" si="82"/>
        <v>5</v>
      </c>
    </row>
    <row r="106" spans="3:24" ht="20.100000000000001" customHeight="1">
      <c r="C106" s="992"/>
      <c r="D106" s="1156">
        <v>10</v>
      </c>
      <c r="E106" s="1156" t="s">
        <v>100</v>
      </c>
      <c r="F106" s="993" t="s">
        <v>684</v>
      </c>
      <c r="G106" s="1617"/>
      <c r="H106" s="994" t="s">
        <v>686</v>
      </c>
      <c r="I106" s="1655"/>
      <c r="J106" s="1633"/>
      <c r="K106" s="995" t="s">
        <v>688</v>
      </c>
      <c r="L106" s="996"/>
      <c r="M106" s="970">
        <f>113*1.16</f>
        <v>131.07999999999998</v>
      </c>
      <c r="N106" s="970">
        <f t="shared" ref="N106:X106" si="83">113*1.16</f>
        <v>131.07999999999998</v>
      </c>
      <c r="O106" s="970">
        <f t="shared" si="83"/>
        <v>131.07999999999998</v>
      </c>
      <c r="P106" s="970">
        <f t="shared" si="83"/>
        <v>131.07999999999998</v>
      </c>
      <c r="Q106" s="970">
        <f t="shared" si="83"/>
        <v>131.07999999999998</v>
      </c>
      <c r="R106" s="970">
        <f t="shared" si="83"/>
        <v>131.07999999999998</v>
      </c>
      <c r="S106" s="970">
        <f t="shared" si="83"/>
        <v>131.07999999999998</v>
      </c>
      <c r="T106" s="970">
        <f t="shared" si="83"/>
        <v>131.07999999999998</v>
      </c>
      <c r="U106" s="970">
        <f t="shared" si="83"/>
        <v>131.07999999999998</v>
      </c>
      <c r="V106" s="970">
        <f t="shared" si="83"/>
        <v>131.07999999999998</v>
      </c>
      <c r="W106" s="970">
        <f t="shared" si="83"/>
        <v>131.07999999999998</v>
      </c>
      <c r="X106" s="976">
        <f t="shared" si="83"/>
        <v>131.07999999999998</v>
      </c>
    </row>
    <row r="107" spans="3:24" ht="20.100000000000001" customHeight="1" thickBot="1">
      <c r="C107" s="885"/>
      <c r="D107" s="1155">
        <v>10</v>
      </c>
      <c r="E107" s="1155" t="s">
        <v>100</v>
      </c>
      <c r="F107" s="887" t="s">
        <v>684</v>
      </c>
      <c r="G107" s="1618"/>
      <c r="H107" s="986" t="s">
        <v>686</v>
      </c>
      <c r="I107" s="1656"/>
      <c r="J107" s="1658"/>
      <c r="K107" s="937" t="s">
        <v>569</v>
      </c>
      <c r="L107" s="916">
        <f t="shared" ref="L107" si="84">SUM(M107:X107)</f>
        <v>231094.03999999998</v>
      </c>
      <c r="M107" s="938">
        <f>(M105*M106)</f>
        <v>43256.399999999994</v>
      </c>
      <c r="N107" s="917">
        <f t="shared" ref="N107:V107" si="85">(N105*N106)</f>
        <v>18351.199999999997</v>
      </c>
      <c r="O107" s="917">
        <f t="shared" si="85"/>
        <v>46926.639999999992</v>
      </c>
      <c r="P107" s="917">
        <f t="shared" si="85"/>
        <v>5243.1999999999989</v>
      </c>
      <c r="Q107" s="917">
        <f t="shared" si="85"/>
        <v>19661.999999999996</v>
      </c>
      <c r="R107" s="917">
        <f t="shared" si="85"/>
        <v>27657.879999999997</v>
      </c>
      <c r="S107" s="917">
        <f t="shared" si="85"/>
        <v>13107.999999999998</v>
      </c>
      <c r="T107" s="917">
        <f t="shared" si="85"/>
        <v>20579.559999999998</v>
      </c>
      <c r="U107" s="917">
        <f t="shared" si="85"/>
        <v>786.4799999999999</v>
      </c>
      <c r="V107" s="917">
        <f t="shared" si="85"/>
        <v>7995.8799999999992</v>
      </c>
      <c r="W107" s="917">
        <f>(W105*W106)</f>
        <v>26871.399999999998</v>
      </c>
      <c r="X107" s="918">
        <f>(X105*X106)</f>
        <v>655.39999999999986</v>
      </c>
    </row>
    <row r="108" spans="3:24" ht="20.100000000000001" customHeight="1"/>
    <row r="109" spans="3:24" ht="15.75" thickBot="1">
      <c r="F109" s="860" t="e">
        <f>(#REF!+#REF!+#REF!+#REF!)</f>
        <v>#REF!</v>
      </c>
      <c r="G109" s="860"/>
      <c r="H109" s="861"/>
      <c r="I109" s="860"/>
      <c r="J109" s="860"/>
      <c r="K109" s="102"/>
      <c r="L109" s="862">
        <f t="shared" ref="L109:X109" si="86">SUBTOTAL(9,L114:L154)</f>
        <v>261487.76822222219</v>
      </c>
      <c r="M109" s="862">
        <f t="shared" si="86"/>
        <v>48945.526666666658</v>
      </c>
      <c r="N109" s="862">
        <f t="shared" si="86"/>
        <v>20764.768888888888</v>
      </c>
      <c r="O109" s="862">
        <f t="shared" si="86"/>
        <v>53098.480444444438</v>
      </c>
      <c r="P109" s="862">
        <f t="shared" si="86"/>
        <v>5932.7911111111098</v>
      </c>
      <c r="Q109" s="862">
        <f t="shared" si="86"/>
        <v>22247.966666666664</v>
      </c>
      <c r="R109" s="862">
        <f t="shared" si="86"/>
        <v>31295.47311111111</v>
      </c>
      <c r="S109" s="862">
        <f t="shared" si="86"/>
        <v>14831.977777777776</v>
      </c>
      <c r="T109" s="862">
        <f t="shared" si="86"/>
        <v>23286.205111111107</v>
      </c>
      <c r="U109" s="862">
        <f t="shared" si="86"/>
        <v>889.91866666666658</v>
      </c>
      <c r="V109" s="862">
        <f t="shared" si="86"/>
        <v>9047.5064444444433</v>
      </c>
      <c r="W109" s="862">
        <f t="shared" si="86"/>
        <v>30405.554444444442</v>
      </c>
      <c r="X109" s="862">
        <f t="shared" si="86"/>
        <v>741.59888888888872</v>
      </c>
    </row>
    <row r="110" spans="3:24" ht="15" customHeight="1">
      <c r="C110" s="1605" t="s">
        <v>0</v>
      </c>
      <c r="D110" s="1608" t="s">
        <v>94</v>
      </c>
      <c r="E110" s="1608" t="s">
        <v>664</v>
      </c>
      <c r="F110" s="1608" t="s">
        <v>2</v>
      </c>
      <c r="G110" s="1608" t="s">
        <v>665</v>
      </c>
      <c r="H110" s="1623" t="s">
        <v>666</v>
      </c>
      <c r="I110" s="1611" t="s">
        <v>667</v>
      </c>
      <c r="J110" s="1611" t="s">
        <v>668</v>
      </c>
      <c r="K110" s="1614" t="s">
        <v>687</v>
      </c>
      <c r="L110" s="1614" t="s">
        <v>669</v>
      </c>
      <c r="M110" s="863" t="s">
        <v>670</v>
      </c>
      <c r="N110" s="864" t="s">
        <v>671</v>
      </c>
      <c r="O110" s="863" t="s">
        <v>672</v>
      </c>
      <c r="P110" s="864" t="s">
        <v>673</v>
      </c>
      <c r="Q110" s="863" t="s">
        <v>674</v>
      </c>
      <c r="R110" s="864" t="s">
        <v>675</v>
      </c>
      <c r="S110" s="863" t="s">
        <v>676</v>
      </c>
      <c r="T110" s="864" t="s">
        <v>677</v>
      </c>
      <c r="U110" s="863" t="s">
        <v>678</v>
      </c>
      <c r="V110" s="864" t="s">
        <v>679</v>
      </c>
      <c r="W110" s="863" t="s">
        <v>680</v>
      </c>
      <c r="X110" s="865" t="s">
        <v>681</v>
      </c>
    </row>
    <row r="111" spans="3:24" ht="16.5" customHeight="1">
      <c r="C111" s="1606"/>
      <c r="D111" s="1609"/>
      <c r="E111" s="1609"/>
      <c r="F111" s="1609"/>
      <c r="G111" s="1609"/>
      <c r="H111" s="1624"/>
      <c r="I111" s="1612"/>
      <c r="J111" s="1612"/>
      <c r="K111" s="1615"/>
      <c r="L111" s="1615"/>
      <c r="M111" s="866">
        <f t="shared" ref="M111:X111" si="87">WEEKNUM(M112,21)</f>
        <v>1</v>
      </c>
      <c r="N111" s="867">
        <f t="shared" si="87"/>
        <v>5</v>
      </c>
      <c r="O111" s="866">
        <f t="shared" si="87"/>
        <v>9</v>
      </c>
      <c r="P111" s="867">
        <f t="shared" si="87"/>
        <v>14</v>
      </c>
      <c r="Q111" s="866">
        <f t="shared" si="87"/>
        <v>18</v>
      </c>
      <c r="R111" s="867">
        <f t="shared" si="87"/>
        <v>22</v>
      </c>
      <c r="S111" s="866">
        <f t="shared" si="87"/>
        <v>27</v>
      </c>
      <c r="T111" s="867">
        <f t="shared" si="87"/>
        <v>31</v>
      </c>
      <c r="U111" s="866">
        <f t="shared" si="87"/>
        <v>35</v>
      </c>
      <c r="V111" s="867">
        <f t="shared" si="87"/>
        <v>40</v>
      </c>
      <c r="W111" s="866">
        <f t="shared" si="87"/>
        <v>44</v>
      </c>
      <c r="X111" s="868">
        <f t="shared" si="87"/>
        <v>48</v>
      </c>
    </row>
    <row r="112" spans="3:24" ht="15.75" thickBot="1">
      <c r="C112" s="1607"/>
      <c r="D112" s="1610"/>
      <c r="E112" s="1610"/>
      <c r="F112" s="1610"/>
      <c r="G112" s="1610"/>
      <c r="H112" s="1625"/>
      <c r="I112" s="1613"/>
      <c r="J112" s="1613"/>
      <c r="K112" s="1616"/>
      <c r="L112" s="1616"/>
      <c r="M112" s="869">
        <v>45292</v>
      </c>
      <c r="N112" s="870">
        <v>45323</v>
      </c>
      <c r="O112" s="869">
        <v>45352</v>
      </c>
      <c r="P112" s="870">
        <v>45383</v>
      </c>
      <c r="Q112" s="869">
        <v>45413</v>
      </c>
      <c r="R112" s="870">
        <v>45444</v>
      </c>
      <c r="S112" s="869">
        <v>45474</v>
      </c>
      <c r="T112" s="870">
        <v>45505</v>
      </c>
      <c r="U112" s="869">
        <v>45536</v>
      </c>
      <c r="V112" s="870">
        <v>45566</v>
      </c>
      <c r="W112" s="869">
        <v>45597</v>
      </c>
      <c r="X112" s="871">
        <v>45627</v>
      </c>
    </row>
    <row r="114" spans="8:24">
      <c r="H114" s="1210" t="s">
        <v>689</v>
      </c>
      <c r="J114" s="955">
        <v>15</v>
      </c>
      <c r="K114" s="900" t="s">
        <v>569</v>
      </c>
      <c r="L114" s="902">
        <f t="shared" ref="L114:L116" si="88">SUM(M114:X114)</f>
        <v>26445</v>
      </c>
      <c r="M114" s="927">
        <f>(M101)</f>
        <v>4950</v>
      </c>
      <c r="N114" s="903">
        <f t="shared" ref="N114:X114" si="89">(N101)</f>
        <v>2100</v>
      </c>
      <c r="O114" s="903">
        <f t="shared" si="89"/>
        <v>5370</v>
      </c>
      <c r="P114" s="903">
        <f t="shared" si="89"/>
        <v>600</v>
      </c>
      <c r="Q114" s="903">
        <f t="shared" si="89"/>
        <v>2250</v>
      </c>
      <c r="R114" s="903">
        <f t="shared" si="89"/>
        <v>3165</v>
      </c>
      <c r="S114" s="903">
        <f t="shared" si="89"/>
        <v>1500</v>
      </c>
      <c r="T114" s="903">
        <f t="shared" si="89"/>
        <v>2355</v>
      </c>
      <c r="U114" s="903">
        <f t="shared" si="89"/>
        <v>90</v>
      </c>
      <c r="V114" s="903">
        <f t="shared" si="89"/>
        <v>915</v>
      </c>
      <c r="W114" s="903">
        <f t="shared" si="89"/>
        <v>3075</v>
      </c>
      <c r="X114" s="904">
        <f t="shared" si="89"/>
        <v>75</v>
      </c>
    </row>
    <row r="115" spans="8:24">
      <c r="H115" s="1210" t="s">
        <v>690</v>
      </c>
      <c r="J115" s="955">
        <v>2.2397777777777779</v>
      </c>
      <c r="K115" s="900" t="s">
        <v>569</v>
      </c>
      <c r="L115" s="902">
        <f t="shared" si="88"/>
        <v>3948.7282222222225</v>
      </c>
      <c r="M115" s="927">
        <f>(M104)</f>
        <v>739.12666666666667</v>
      </c>
      <c r="N115" s="903">
        <f t="shared" ref="N115:X115" si="90">(N104)</f>
        <v>313.56888888888892</v>
      </c>
      <c r="O115" s="903">
        <f t="shared" si="90"/>
        <v>801.84044444444453</v>
      </c>
      <c r="P115" s="903">
        <f t="shared" si="90"/>
        <v>89.591111111111118</v>
      </c>
      <c r="Q115" s="903">
        <f t="shared" si="90"/>
        <v>335.9666666666667</v>
      </c>
      <c r="R115" s="903">
        <f t="shared" si="90"/>
        <v>472.59311111111111</v>
      </c>
      <c r="S115" s="903">
        <f t="shared" si="90"/>
        <v>223.97777777777779</v>
      </c>
      <c r="T115" s="903">
        <f t="shared" si="90"/>
        <v>351.64511111111113</v>
      </c>
      <c r="U115" s="903">
        <f t="shared" si="90"/>
        <v>13.438666666666666</v>
      </c>
      <c r="V115" s="903">
        <f t="shared" si="90"/>
        <v>136.62644444444445</v>
      </c>
      <c r="W115" s="903">
        <f t="shared" si="90"/>
        <v>459.15444444444444</v>
      </c>
      <c r="X115" s="904">
        <f t="shared" si="90"/>
        <v>11.19888888888889</v>
      </c>
    </row>
    <row r="116" spans="8:24">
      <c r="H116" s="101" t="s">
        <v>686</v>
      </c>
      <c r="J116" s="955">
        <v>131.07999999999996</v>
      </c>
      <c r="K116" s="900" t="s">
        <v>569</v>
      </c>
      <c r="L116" s="902">
        <f t="shared" si="88"/>
        <v>231094.03999999998</v>
      </c>
      <c r="M116" s="927">
        <f>(M107)</f>
        <v>43256.399999999994</v>
      </c>
      <c r="N116" s="903">
        <f t="shared" ref="N116:X116" si="91">(N107)</f>
        <v>18351.199999999997</v>
      </c>
      <c r="O116" s="903">
        <f t="shared" si="91"/>
        <v>46926.639999999992</v>
      </c>
      <c r="P116" s="903">
        <f t="shared" si="91"/>
        <v>5243.1999999999989</v>
      </c>
      <c r="Q116" s="903">
        <f t="shared" si="91"/>
        <v>19661.999999999996</v>
      </c>
      <c r="R116" s="903">
        <f t="shared" si="91"/>
        <v>27657.879999999997</v>
      </c>
      <c r="S116" s="903">
        <f t="shared" si="91"/>
        <v>13107.999999999998</v>
      </c>
      <c r="T116" s="903">
        <f t="shared" si="91"/>
        <v>20579.559999999998</v>
      </c>
      <c r="U116" s="903">
        <f t="shared" si="91"/>
        <v>786.4799999999999</v>
      </c>
      <c r="V116" s="903">
        <f t="shared" si="91"/>
        <v>7995.8799999999992</v>
      </c>
      <c r="W116" s="903">
        <f t="shared" si="91"/>
        <v>26871.399999999998</v>
      </c>
      <c r="X116" s="904">
        <f t="shared" si="91"/>
        <v>655.39999999999986</v>
      </c>
    </row>
    <row r="117" spans="8:24" ht="18" customHeight="1"/>
    <row r="118" spans="8:24" ht="18" customHeight="1"/>
    <row r="119" spans="8:24" ht="18" customHeight="1"/>
    <row r="120" spans="8:24" ht="18" customHeight="1"/>
    <row r="121" spans="8:24" ht="18" customHeight="1"/>
    <row r="122" spans="8:24" ht="18" customHeight="1"/>
    <row r="123" spans="8:24" ht="18" customHeight="1"/>
    <row r="124" spans="8:24" ht="18" customHeight="1"/>
    <row r="125" spans="8:24" ht="18" customHeight="1"/>
    <row r="126" spans="8:24" ht="18" customHeight="1"/>
    <row r="127" spans="8:24" ht="18" customHeight="1"/>
    <row r="128" spans="8:24"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sheetData>
  <autoFilter ref="C19:X72" xr:uid="{FC50114A-687D-4FBE-8779-12EAB3718FC1}"/>
  <mergeCells count="109">
    <mergeCell ref="H20:H22"/>
    <mergeCell ref="I20:I22"/>
    <mergeCell ref="J20:J22"/>
    <mergeCell ref="G23:G25"/>
    <mergeCell ref="I16:I18"/>
    <mergeCell ref="J16:J18"/>
    <mergeCell ref="K16:K18"/>
    <mergeCell ref="L16:L18"/>
    <mergeCell ref="C16:C18"/>
    <mergeCell ref="D16:D18"/>
    <mergeCell ref="E16:E18"/>
    <mergeCell ref="F16:F18"/>
    <mergeCell ref="G16:G18"/>
    <mergeCell ref="H16:H18"/>
    <mergeCell ref="I23:I25"/>
    <mergeCell ref="J23:J25"/>
    <mergeCell ref="G38:G40"/>
    <mergeCell ref="I38:I40"/>
    <mergeCell ref="J38:J40"/>
    <mergeCell ref="G32:G34"/>
    <mergeCell ref="I32:I34"/>
    <mergeCell ref="J32:J34"/>
    <mergeCell ref="G35:G37"/>
    <mergeCell ref="I35:I37"/>
    <mergeCell ref="J35:J37"/>
    <mergeCell ref="G26:G28"/>
    <mergeCell ref="I26:I28"/>
    <mergeCell ref="J26:J28"/>
    <mergeCell ref="G29:G31"/>
    <mergeCell ref="I29:I31"/>
    <mergeCell ref="J29:J31"/>
    <mergeCell ref="G20:G22"/>
    <mergeCell ref="J75:J77"/>
    <mergeCell ref="K75:K77"/>
    <mergeCell ref="J58:J60"/>
    <mergeCell ref="G67:G69"/>
    <mergeCell ref="I67:I69"/>
    <mergeCell ref="J67:J69"/>
    <mergeCell ref="G70:G72"/>
    <mergeCell ref="I70:I72"/>
    <mergeCell ref="J70:J72"/>
    <mergeCell ref="G61:G63"/>
    <mergeCell ref="I61:I63"/>
    <mergeCell ref="J61:J63"/>
    <mergeCell ref="G64:G66"/>
    <mergeCell ref="I64:I66"/>
    <mergeCell ref="J64:J66"/>
    <mergeCell ref="H61:H63"/>
    <mergeCell ref="H67:H69"/>
    <mergeCell ref="L75:L77"/>
    <mergeCell ref="H75:H77"/>
    <mergeCell ref="I75:I77"/>
    <mergeCell ref="C75:C77"/>
    <mergeCell ref="D75:D77"/>
    <mergeCell ref="E75:E77"/>
    <mergeCell ref="F75:F77"/>
    <mergeCell ref="G75:G77"/>
    <mergeCell ref="H92:H94"/>
    <mergeCell ref="I92:I94"/>
    <mergeCell ref="J92:J94"/>
    <mergeCell ref="K92:K94"/>
    <mergeCell ref="L92:L94"/>
    <mergeCell ref="C92:C94"/>
    <mergeCell ref="D92:D94"/>
    <mergeCell ref="E92:E94"/>
    <mergeCell ref="F92:F94"/>
    <mergeCell ref="G92:G94"/>
    <mergeCell ref="G96:G98"/>
    <mergeCell ref="H96:H98"/>
    <mergeCell ref="I96:I98"/>
    <mergeCell ref="J96:J98"/>
    <mergeCell ref="C110:C112"/>
    <mergeCell ref="D110:D112"/>
    <mergeCell ref="E110:E112"/>
    <mergeCell ref="F110:F112"/>
    <mergeCell ref="G110:G112"/>
    <mergeCell ref="H110:H112"/>
    <mergeCell ref="I110:I112"/>
    <mergeCell ref="J110:J112"/>
    <mergeCell ref="G99:G101"/>
    <mergeCell ref="I99:I101"/>
    <mergeCell ref="J99:J101"/>
    <mergeCell ref="G105:G107"/>
    <mergeCell ref="I105:I107"/>
    <mergeCell ref="J105:J107"/>
    <mergeCell ref="K110:K112"/>
    <mergeCell ref="L110:L112"/>
    <mergeCell ref="G42:G44"/>
    <mergeCell ref="H42:H44"/>
    <mergeCell ref="I42:I44"/>
    <mergeCell ref="J42:J44"/>
    <mergeCell ref="G45:G47"/>
    <mergeCell ref="I45:I47"/>
    <mergeCell ref="J45:J47"/>
    <mergeCell ref="G48:G50"/>
    <mergeCell ref="I48:I50"/>
    <mergeCell ref="J48:J50"/>
    <mergeCell ref="G102:G104"/>
    <mergeCell ref="I102:I104"/>
    <mergeCell ref="J102:J104"/>
    <mergeCell ref="G52:G54"/>
    <mergeCell ref="H52:H54"/>
    <mergeCell ref="I52:I54"/>
    <mergeCell ref="J52:J54"/>
    <mergeCell ref="G55:G57"/>
    <mergeCell ref="I55:I57"/>
    <mergeCell ref="J55:J57"/>
    <mergeCell ref="G58:G60"/>
    <mergeCell ref="I58:I60"/>
  </mergeCells>
  <conditionalFormatting sqref="L28:X29 L27:W27 L30:W30 L20:X26 L31:X45 L50:X51">
    <cfRule type="cellIs" dxfId="280" priority="136" operator="lessThanOrEqual">
      <formula>0</formula>
    </cfRule>
  </conditionalFormatting>
  <conditionalFormatting sqref="L82">
    <cfRule type="cellIs" dxfId="279" priority="127" operator="lessThanOrEqual">
      <formula>0</formula>
    </cfRule>
  </conditionalFormatting>
  <conditionalFormatting sqref="M82:X82">
    <cfRule type="cellIs" dxfId="278" priority="126" operator="lessThanOrEqual">
      <formula>0</formula>
    </cfRule>
  </conditionalFormatting>
  <conditionalFormatting sqref="M85:X85">
    <cfRule type="cellIs" dxfId="277" priority="110" operator="lessThanOrEqual">
      <formula>0</formula>
    </cfRule>
  </conditionalFormatting>
  <conditionalFormatting sqref="M87:X87">
    <cfRule type="cellIs" dxfId="276" priority="106" operator="lessThanOrEqual">
      <formula>0</formula>
    </cfRule>
  </conditionalFormatting>
  <conditionalFormatting sqref="M89:X89">
    <cfRule type="cellIs" dxfId="275" priority="104" operator="lessThanOrEqual">
      <formula>0</formula>
    </cfRule>
  </conditionalFormatting>
  <conditionalFormatting sqref="L79">
    <cfRule type="cellIs" dxfId="274" priority="135" operator="lessThanOrEqual">
      <formula>0</formula>
    </cfRule>
  </conditionalFormatting>
  <conditionalFormatting sqref="M79:X79">
    <cfRule type="cellIs" dxfId="273" priority="134" operator="lessThanOrEqual">
      <formula>0</formula>
    </cfRule>
  </conditionalFormatting>
  <conditionalFormatting sqref="L80">
    <cfRule type="cellIs" dxfId="272" priority="133" operator="lessThanOrEqual">
      <formula>0</formula>
    </cfRule>
  </conditionalFormatting>
  <conditionalFormatting sqref="M80:X80">
    <cfRule type="cellIs" dxfId="271" priority="132" operator="lessThanOrEqual">
      <formula>0</formula>
    </cfRule>
  </conditionalFormatting>
  <conditionalFormatting sqref="L81">
    <cfRule type="cellIs" dxfId="270" priority="131" operator="lessThanOrEqual">
      <formula>0</formula>
    </cfRule>
  </conditionalFormatting>
  <conditionalFormatting sqref="M81:X81">
    <cfRule type="cellIs" dxfId="269" priority="130" operator="lessThanOrEqual">
      <formula>0</formula>
    </cfRule>
  </conditionalFormatting>
  <conditionalFormatting sqref="L88">
    <cfRule type="cellIs" dxfId="268" priority="129" operator="lessThanOrEqual">
      <formula>0</formula>
    </cfRule>
  </conditionalFormatting>
  <conditionalFormatting sqref="M88:X88">
    <cfRule type="cellIs" dxfId="267" priority="128" operator="lessThanOrEqual">
      <formula>0</formula>
    </cfRule>
  </conditionalFormatting>
  <conditionalFormatting sqref="L84">
    <cfRule type="cellIs" dxfId="266" priority="123" operator="lessThanOrEqual">
      <formula>0</formula>
    </cfRule>
  </conditionalFormatting>
  <conditionalFormatting sqref="M84:X84">
    <cfRule type="cellIs" dxfId="265" priority="122" operator="lessThanOrEqual">
      <formula>0</formula>
    </cfRule>
  </conditionalFormatting>
  <conditionalFormatting sqref="L83">
    <cfRule type="cellIs" dxfId="264" priority="125" operator="lessThanOrEqual">
      <formula>0</formula>
    </cfRule>
  </conditionalFormatting>
  <conditionalFormatting sqref="M83:X83">
    <cfRule type="cellIs" dxfId="263" priority="124" operator="lessThanOrEqual">
      <formula>0</formula>
    </cfRule>
  </conditionalFormatting>
  <conditionalFormatting sqref="L85">
    <cfRule type="cellIs" dxfId="262" priority="111" operator="lessThanOrEqual">
      <formula>0</formula>
    </cfRule>
  </conditionalFormatting>
  <conditionalFormatting sqref="L86">
    <cfRule type="cellIs" dxfId="261" priority="109" operator="lessThanOrEqual">
      <formula>0</formula>
    </cfRule>
  </conditionalFormatting>
  <conditionalFormatting sqref="M86:X86">
    <cfRule type="cellIs" dxfId="260" priority="108" operator="lessThanOrEqual">
      <formula>0</formula>
    </cfRule>
  </conditionalFormatting>
  <conditionalFormatting sqref="L87">
    <cfRule type="cellIs" dxfId="259" priority="107" operator="lessThanOrEqual">
      <formula>0</formula>
    </cfRule>
  </conditionalFormatting>
  <conditionalFormatting sqref="L89">
    <cfRule type="cellIs" dxfId="258" priority="105" operator="lessThanOrEqual">
      <formula>0</formula>
    </cfRule>
  </conditionalFormatting>
  <conditionalFormatting sqref="X27">
    <cfRule type="cellIs" dxfId="257" priority="74" operator="lessThanOrEqual">
      <formula>0</formula>
    </cfRule>
  </conditionalFormatting>
  <conditionalFormatting sqref="X30">
    <cfRule type="cellIs" dxfId="256" priority="73" operator="lessThanOrEqual">
      <formula>0</formula>
    </cfRule>
  </conditionalFormatting>
  <conditionalFormatting sqref="L96:X98">
    <cfRule type="cellIs" dxfId="255" priority="67" operator="lessThanOrEqual">
      <formula>0</formula>
    </cfRule>
  </conditionalFormatting>
  <conditionalFormatting sqref="L116">
    <cfRule type="cellIs" dxfId="254" priority="58" operator="lessThanOrEqual">
      <formula>0</formula>
    </cfRule>
  </conditionalFormatting>
  <conditionalFormatting sqref="M116:X116">
    <cfRule type="cellIs" dxfId="253" priority="57" operator="lessThanOrEqual">
      <formula>0</formula>
    </cfRule>
  </conditionalFormatting>
  <conditionalFormatting sqref="L114">
    <cfRule type="cellIs" dxfId="252" priority="64" operator="lessThanOrEqual">
      <formula>0</formula>
    </cfRule>
  </conditionalFormatting>
  <conditionalFormatting sqref="M114:X114">
    <cfRule type="cellIs" dxfId="251" priority="63" operator="lessThanOrEqual">
      <formula>0</formula>
    </cfRule>
  </conditionalFormatting>
  <conditionalFormatting sqref="L115">
    <cfRule type="cellIs" dxfId="250" priority="62" operator="lessThanOrEqual">
      <formula>0</formula>
    </cfRule>
  </conditionalFormatting>
  <conditionalFormatting sqref="M115:X115">
    <cfRule type="cellIs" dxfId="249" priority="61" operator="lessThanOrEqual">
      <formula>0</formula>
    </cfRule>
  </conditionalFormatting>
  <conditionalFormatting sqref="L61:X66">
    <cfRule type="cellIs" dxfId="248" priority="14" operator="lessThanOrEqual">
      <formula>0</formula>
    </cfRule>
  </conditionalFormatting>
  <conditionalFormatting sqref="L47:X48 L46:W46 L49:W49">
    <cfRule type="cellIs" dxfId="247" priority="20" operator="lessThanOrEqual">
      <formula>0</formula>
    </cfRule>
  </conditionalFormatting>
  <conditionalFormatting sqref="X46">
    <cfRule type="cellIs" dxfId="246" priority="19" operator="lessThanOrEqual">
      <formula>0</formula>
    </cfRule>
  </conditionalFormatting>
  <conditionalFormatting sqref="X49">
    <cfRule type="cellIs" dxfId="245" priority="18" operator="lessThanOrEqual">
      <formula>0</formula>
    </cfRule>
  </conditionalFormatting>
  <conditionalFormatting sqref="L60:X60 L59:W59 L52:X58">
    <cfRule type="cellIs" dxfId="244" priority="17" operator="lessThanOrEqual">
      <formula>0</formula>
    </cfRule>
  </conditionalFormatting>
  <conditionalFormatting sqref="X59">
    <cfRule type="cellIs" dxfId="243" priority="16" operator="lessThanOrEqual">
      <formula>0</formula>
    </cfRule>
  </conditionalFormatting>
  <conditionalFormatting sqref="M104:X104 N103:X103">
    <cfRule type="cellIs" dxfId="242" priority="1" operator="lessThanOrEqual">
      <formula>0</formula>
    </cfRule>
  </conditionalFormatting>
  <conditionalFormatting sqref="L67:X72">
    <cfRule type="cellIs" dxfId="241" priority="12" operator="lessThanOrEqual">
      <formula>0</formula>
    </cfRule>
  </conditionalFormatting>
  <conditionalFormatting sqref="L103:L104 L102:X102">
    <cfRule type="cellIs" dxfId="240" priority="2" operator="lessThanOrEqual">
      <formula>0</formula>
    </cfRule>
  </conditionalFormatting>
  <conditionalFormatting sqref="M107:X107">
    <cfRule type="cellIs" dxfId="239" priority="9" operator="lessThanOrEqual">
      <formula>0</formula>
    </cfRule>
  </conditionalFormatting>
  <conditionalFormatting sqref="L105:X105 L106:L107">
    <cfRule type="cellIs" dxfId="238" priority="8" operator="lessThanOrEqual">
      <formula>0</formula>
    </cfRule>
  </conditionalFormatting>
  <conditionalFormatting sqref="N106:X106">
    <cfRule type="cellIs" dxfId="237" priority="7" operator="lessThanOrEqual">
      <formula>0</formula>
    </cfRule>
  </conditionalFormatting>
  <conditionalFormatting sqref="L100:L101 L99:X99">
    <cfRule type="cellIs" dxfId="236" priority="6" operator="lessThanOrEqual">
      <formula>0</formula>
    </cfRule>
  </conditionalFormatting>
  <conditionalFormatting sqref="M101:X101">
    <cfRule type="cellIs" dxfId="235" priority="5" operator="lessThanOrEqual">
      <formula>0</formula>
    </cfRule>
  </conditionalFormatting>
  <conditionalFormatting sqref="M106">
    <cfRule type="cellIs" dxfId="234" priority="4" operator="lessThanOrEqual">
      <formula>0</formula>
    </cfRule>
  </conditionalFormatting>
  <conditionalFormatting sqref="M100:X100">
    <cfRule type="cellIs" dxfId="233" priority="3" operator="lessThanOrEqual">
      <formula>0</formula>
    </cfRule>
  </conditionalFormatting>
  <printOptions horizontalCentered="1"/>
  <pageMargins left="0.70866141732283472" right="0.70866141732283472" top="0.74803149606299213" bottom="0.74803149606299213" header="0" footer="0"/>
  <pageSetup paperSize="119" scale="89" fitToHeight="2"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94C68-EEF6-4D81-AA11-E979A8233636}">
  <sheetPr filterMode="1"/>
  <dimension ref="B5:X231"/>
  <sheetViews>
    <sheetView topLeftCell="G47" zoomScale="90" zoomScaleNormal="90" workbookViewId="0">
      <selection activeCell="L112" sqref="L112"/>
    </sheetView>
  </sheetViews>
  <sheetFormatPr baseColWidth="10" defaultColWidth="14.42578125" defaultRowHeight="15" customHeight="1" outlineLevelRow="2"/>
  <cols>
    <col min="1" max="1" width="4.140625" style="99" customWidth="1"/>
    <col min="2" max="2" width="4.140625" style="99" hidden="1" customWidth="1"/>
    <col min="3" max="3" width="3" style="99" customWidth="1"/>
    <col min="4" max="4" width="3.28515625" style="99" customWidth="1"/>
    <col min="5" max="5" width="3.5703125" style="99" customWidth="1"/>
    <col min="6" max="6" width="12.140625" style="97" customWidth="1"/>
    <col min="7" max="7" width="7.7109375" style="97" customWidth="1"/>
    <col min="8" max="8" width="15.140625" style="196" customWidth="1"/>
    <col min="9" max="9" width="9.7109375" style="97" customWidth="1"/>
    <col min="10" max="10" width="12.7109375" style="97" customWidth="1"/>
    <col min="11" max="11" width="13.140625" style="97" customWidth="1"/>
    <col min="12" max="12" width="17.42578125" style="97" customWidth="1"/>
    <col min="13" max="13" width="14.5703125" style="99" customWidth="1"/>
    <col min="14" max="14" width="14.85546875" style="99" bestFit="1" customWidth="1"/>
    <col min="15" max="15" width="15.42578125" style="99" customWidth="1"/>
    <col min="16" max="16" width="15.7109375" style="99" customWidth="1"/>
    <col min="17" max="17" width="14.7109375" style="99" bestFit="1" customWidth="1"/>
    <col min="18" max="18" width="14.85546875" style="99" bestFit="1" customWidth="1"/>
    <col min="19" max="19" width="14.7109375" style="99" bestFit="1" customWidth="1"/>
    <col min="20" max="20" width="15.140625" style="99" bestFit="1" customWidth="1"/>
    <col min="21" max="21" width="14.140625" style="99" bestFit="1" customWidth="1"/>
    <col min="22" max="23" width="14.7109375" style="99" bestFit="1" customWidth="1"/>
    <col min="24" max="24" width="15.140625" style="99" bestFit="1" customWidth="1"/>
    <col min="25" max="16384" width="14.42578125" style="99"/>
  </cols>
  <sheetData>
    <row r="5" spans="3:24" ht="15.75" thickBot="1">
      <c r="F5" s="860" t="e">
        <f>(#REF!+#REF!+#REF!+#REF!)</f>
        <v>#REF!</v>
      </c>
      <c r="G5" s="860"/>
      <c r="H5" s="861">
        <v>35.950000000000003</v>
      </c>
      <c r="I5" s="860"/>
      <c r="J5" s="860"/>
      <c r="K5" s="102"/>
      <c r="L5" s="862">
        <f t="shared" ref="L5:X5" si="0">SUBTOTAL(9,L10:L85)</f>
        <v>58800</v>
      </c>
      <c r="M5" s="862">
        <f t="shared" si="0"/>
        <v>7600</v>
      </c>
      <c r="N5" s="862">
        <f t="shared" si="0"/>
        <v>4400</v>
      </c>
      <c r="O5" s="862">
        <f t="shared" si="0"/>
        <v>4400</v>
      </c>
      <c r="P5" s="862">
        <f t="shared" si="0"/>
        <v>1600</v>
      </c>
      <c r="Q5" s="862">
        <f t="shared" si="0"/>
        <v>4800</v>
      </c>
      <c r="R5" s="862">
        <f t="shared" si="0"/>
        <v>4800</v>
      </c>
      <c r="S5" s="862">
        <f t="shared" si="0"/>
        <v>5200</v>
      </c>
      <c r="T5" s="862">
        <f t="shared" si="0"/>
        <v>5200</v>
      </c>
      <c r="U5" s="862">
        <f t="shared" si="0"/>
        <v>5200</v>
      </c>
      <c r="V5" s="862">
        <f t="shared" si="0"/>
        <v>5200</v>
      </c>
      <c r="W5" s="862">
        <f t="shared" si="0"/>
        <v>5200</v>
      </c>
      <c r="X5" s="862">
        <f t="shared" si="0"/>
        <v>5200</v>
      </c>
    </row>
    <row r="6" spans="3:24" ht="15" customHeight="1">
      <c r="C6" s="1605" t="s">
        <v>0</v>
      </c>
      <c r="D6" s="1608" t="s">
        <v>94</v>
      </c>
      <c r="E6" s="1608" t="s">
        <v>664</v>
      </c>
      <c r="F6" s="1608" t="s">
        <v>2</v>
      </c>
      <c r="G6" s="1608" t="s">
        <v>665</v>
      </c>
      <c r="H6" s="1623" t="s">
        <v>666</v>
      </c>
      <c r="I6" s="1611" t="s">
        <v>667</v>
      </c>
      <c r="J6" s="1611" t="s">
        <v>668</v>
      </c>
      <c r="K6" s="1614" t="s">
        <v>75</v>
      </c>
      <c r="L6" s="1614" t="s">
        <v>669</v>
      </c>
      <c r="M6" s="863" t="s">
        <v>670</v>
      </c>
      <c r="N6" s="864" t="s">
        <v>671</v>
      </c>
      <c r="O6" s="863" t="s">
        <v>672</v>
      </c>
      <c r="P6" s="864" t="s">
        <v>673</v>
      </c>
      <c r="Q6" s="863" t="s">
        <v>674</v>
      </c>
      <c r="R6" s="864" t="s">
        <v>675</v>
      </c>
      <c r="S6" s="863" t="s">
        <v>676</v>
      </c>
      <c r="T6" s="864" t="s">
        <v>677</v>
      </c>
      <c r="U6" s="863" t="s">
        <v>678</v>
      </c>
      <c r="V6" s="864" t="s">
        <v>679</v>
      </c>
      <c r="W6" s="863" t="s">
        <v>680</v>
      </c>
      <c r="X6" s="865" t="s">
        <v>681</v>
      </c>
    </row>
    <row r="7" spans="3:24" ht="16.5" customHeight="1">
      <c r="C7" s="1606"/>
      <c r="D7" s="1609"/>
      <c r="E7" s="1609"/>
      <c r="F7" s="1609"/>
      <c r="G7" s="1609"/>
      <c r="H7" s="1624"/>
      <c r="I7" s="1612"/>
      <c r="J7" s="1612"/>
      <c r="K7" s="1615"/>
      <c r="L7" s="1615"/>
      <c r="M7" s="866">
        <f t="shared" ref="M7:X7" si="1">WEEKNUM(M8,21)</f>
        <v>1</v>
      </c>
      <c r="N7" s="867">
        <f t="shared" si="1"/>
        <v>5</v>
      </c>
      <c r="O7" s="866">
        <f t="shared" si="1"/>
        <v>9</v>
      </c>
      <c r="P7" s="867">
        <f t="shared" si="1"/>
        <v>14</v>
      </c>
      <c r="Q7" s="866">
        <f t="shared" si="1"/>
        <v>18</v>
      </c>
      <c r="R7" s="867">
        <f t="shared" si="1"/>
        <v>22</v>
      </c>
      <c r="S7" s="866">
        <f t="shared" si="1"/>
        <v>27</v>
      </c>
      <c r="T7" s="867">
        <f t="shared" si="1"/>
        <v>31</v>
      </c>
      <c r="U7" s="866">
        <f t="shared" si="1"/>
        <v>35</v>
      </c>
      <c r="V7" s="867">
        <f t="shared" si="1"/>
        <v>40</v>
      </c>
      <c r="W7" s="866">
        <f t="shared" si="1"/>
        <v>44</v>
      </c>
      <c r="X7" s="868">
        <f t="shared" si="1"/>
        <v>48</v>
      </c>
    </row>
    <row r="8" spans="3:24" ht="15.75" thickBot="1">
      <c r="C8" s="1607"/>
      <c r="D8" s="1610"/>
      <c r="E8" s="1610"/>
      <c r="F8" s="1610"/>
      <c r="G8" s="1610"/>
      <c r="H8" s="1625"/>
      <c r="I8" s="1613"/>
      <c r="J8" s="1613"/>
      <c r="K8" s="1616"/>
      <c r="L8" s="1616"/>
      <c r="M8" s="869">
        <v>45292</v>
      </c>
      <c r="N8" s="870">
        <v>45323</v>
      </c>
      <c r="O8" s="869">
        <v>45352</v>
      </c>
      <c r="P8" s="870">
        <v>45383</v>
      </c>
      <c r="Q8" s="869">
        <v>45413</v>
      </c>
      <c r="R8" s="870">
        <v>45444</v>
      </c>
      <c r="S8" s="869">
        <v>45474</v>
      </c>
      <c r="T8" s="870">
        <v>45505</v>
      </c>
      <c r="U8" s="869">
        <v>45536</v>
      </c>
      <c r="V8" s="870">
        <v>45566</v>
      </c>
      <c r="W8" s="869">
        <v>45597</v>
      </c>
      <c r="X8" s="871">
        <v>45627</v>
      </c>
    </row>
    <row r="9" spans="3:24" ht="9.75" customHeight="1" thickBot="1">
      <c r="C9" s="872"/>
      <c r="D9" s="873"/>
      <c r="E9" s="873"/>
      <c r="F9" s="874"/>
      <c r="G9" s="874"/>
      <c r="H9" s="875"/>
      <c r="I9" s="874"/>
      <c r="J9" s="874"/>
      <c r="K9" s="874"/>
      <c r="L9" s="874"/>
      <c r="M9" s="873"/>
      <c r="N9" s="876"/>
      <c r="O9" s="876"/>
      <c r="P9" s="876"/>
      <c r="Q9" s="876"/>
      <c r="R9" s="876"/>
      <c r="S9" s="876"/>
      <c r="T9" s="876"/>
      <c r="U9" s="876"/>
      <c r="V9" s="876"/>
      <c r="W9" s="876"/>
      <c r="X9" s="877"/>
    </row>
    <row r="10" spans="3:24" s="101" customFormat="1" ht="20.100000000000001" customHeight="1" thickBot="1">
      <c r="C10" s="878">
        <v>1</v>
      </c>
      <c r="D10" s="879">
        <v>0</v>
      </c>
      <c r="E10" s="879" t="s">
        <v>242</v>
      </c>
      <c r="F10" s="880" t="s">
        <v>637</v>
      </c>
      <c r="G10" s="1617"/>
      <c r="H10" s="1617"/>
      <c r="I10" s="1619">
        <v>200</v>
      </c>
      <c r="J10" s="1621">
        <f>AVERAGE(M11:X11)</f>
        <v>173.44718047256424</v>
      </c>
      <c r="K10" s="881" t="s">
        <v>682</v>
      </c>
      <c r="L10" s="1097">
        <f>SUM(M10:X10)</f>
        <v>16600</v>
      </c>
      <c r="M10" s="973">
        <v>3000</v>
      </c>
      <c r="N10" s="932">
        <v>400</v>
      </c>
      <c r="O10" s="932">
        <v>2200</v>
      </c>
      <c r="P10" s="1569">
        <v>200</v>
      </c>
      <c r="Q10" s="1569">
        <v>1600</v>
      </c>
      <c r="R10" s="1440">
        <v>1400</v>
      </c>
      <c r="S10" s="1440">
        <v>1200</v>
      </c>
      <c r="T10" s="1440">
        <v>1400</v>
      </c>
      <c r="U10" s="1440">
        <v>1200</v>
      </c>
      <c r="V10" s="1440">
        <v>1400</v>
      </c>
      <c r="W10" s="1440">
        <v>1200</v>
      </c>
      <c r="X10" s="1226">
        <v>1400</v>
      </c>
    </row>
    <row r="11" spans="3:24" s="101" customFormat="1" ht="20.100000000000001" hidden="1" customHeight="1">
      <c r="C11" s="948"/>
      <c r="D11" s="949">
        <v>0</v>
      </c>
      <c r="E11" s="949" t="s">
        <v>242</v>
      </c>
      <c r="F11" s="950" t="s">
        <v>637</v>
      </c>
      <c r="G11" s="1617"/>
      <c r="H11" s="1617"/>
      <c r="I11" s="1619"/>
      <c r="J11" s="1621"/>
      <c r="K11" s="951" t="s">
        <v>688</v>
      </c>
      <c r="L11" s="952"/>
      <c r="M11" s="970">
        <f>(M12/M10)</f>
        <v>167.36157200100709</v>
      </c>
      <c r="N11" s="970">
        <f t="shared" ref="N11:W11" si="2">(N12/N10)</f>
        <v>167.13827830901928</v>
      </c>
      <c r="O11" s="970">
        <f t="shared" si="2"/>
        <v>167.00626201064406</v>
      </c>
      <c r="P11" s="970">
        <f t="shared" si="2"/>
        <v>166.83622553279136</v>
      </c>
      <c r="Q11" s="970">
        <f t="shared" si="2"/>
        <v>166.64455561809666</v>
      </c>
      <c r="R11" s="970">
        <f t="shared" si="2"/>
        <v>166.37307987122873</v>
      </c>
      <c r="S11" s="970">
        <f t="shared" si="2"/>
        <v>224.3304881489322</v>
      </c>
      <c r="T11" s="970">
        <f t="shared" si="2"/>
        <v>166.20334196986138</v>
      </c>
      <c r="U11" s="970">
        <f t="shared" si="2"/>
        <v>166.38175023972946</v>
      </c>
      <c r="V11" s="970">
        <f t="shared" si="2"/>
        <v>164.96701690945551</v>
      </c>
      <c r="W11" s="970">
        <f t="shared" si="2"/>
        <v>164.6028735108047</v>
      </c>
      <c r="X11" s="976">
        <f>(X12/X10)</f>
        <v>193.52072154920066</v>
      </c>
    </row>
    <row r="12" spans="3:24" s="101" customFormat="1" ht="20.100000000000001" hidden="1" customHeight="1" thickBot="1">
      <c r="C12" s="885"/>
      <c r="D12" s="886">
        <v>0</v>
      </c>
      <c r="E12" s="886" t="s">
        <v>242</v>
      </c>
      <c r="F12" s="887" t="s">
        <v>637</v>
      </c>
      <c r="G12" s="1618"/>
      <c r="H12" s="1618"/>
      <c r="I12" s="1620"/>
      <c r="J12" s="1622"/>
      <c r="K12" s="888" t="s">
        <v>569</v>
      </c>
      <c r="L12" s="889">
        <f>SUM(M12:X12)</f>
        <v>2870220.296544563</v>
      </c>
      <c r="M12" s="919">
        <f>(M15+M18+M21+M24+M27+M30+M33)</f>
        <v>502084.71600302128</v>
      </c>
      <c r="N12" s="974">
        <f t="shared" ref="N12:X12" si="3">(N15+N18+N21+N24+N27+N30+N33)</f>
        <v>66855.311323607719</v>
      </c>
      <c r="O12" s="974">
        <f t="shared" si="3"/>
        <v>367413.77642341692</v>
      </c>
      <c r="P12" s="974">
        <f t="shared" si="3"/>
        <v>33367.245106558272</v>
      </c>
      <c r="Q12" s="974">
        <f t="shared" si="3"/>
        <v>266631.28898895468</v>
      </c>
      <c r="R12" s="974">
        <f t="shared" si="3"/>
        <v>232922.3118197202</v>
      </c>
      <c r="S12" s="974">
        <f t="shared" si="3"/>
        <v>269196.58577871864</v>
      </c>
      <c r="T12" s="974">
        <f t="shared" si="3"/>
        <v>232684.67875780593</v>
      </c>
      <c r="U12" s="974">
        <f t="shared" si="3"/>
        <v>199658.10028767536</v>
      </c>
      <c r="V12" s="974">
        <f t="shared" si="3"/>
        <v>230953.8236732377</v>
      </c>
      <c r="W12" s="974">
        <f t="shared" si="3"/>
        <v>197523.44821296562</v>
      </c>
      <c r="X12" s="975">
        <f t="shared" si="3"/>
        <v>270929.01016888092</v>
      </c>
    </row>
    <row r="13" spans="3:24" s="101" customFormat="1" ht="20.100000000000001" customHeight="1">
      <c r="C13" s="890"/>
      <c r="D13" s="891">
        <v>1</v>
      </c>
      <c r="E13" s="891" t="s">
        <v>100</v>
      </c>
      <c r="F13" s="892" t="s">
        <v>637</v>
      </c>
      <c r="G13" s="1667">
        <v>0.04</v>
      </c>
      <c r="H13" s="1572" t="s">
        <v>224</v>
      </c>
      <c r="I13" s="1629">
        <f>(I10*G13)</f>
        <v>8</v>
      </c>
      <c r="J13" s="1632">
        <f>AVERAGE(M14:X14)</f>
        <v>453.71845124282981</v>
      </c>
      <c r="K13" s="894" t="s">
        <v>682</v>
      </c>
      <c r="L13" s="895">
        <f>SUM(M13:X13)</f>
        <v>664</v>
      </c>
      <c r="M13" s="896">
        <f>(M10*$G13)</f>
        <v>120</v>
      </c>
      <c r="N13" s="897">
        <f t="shared" ref="N13:X13" si="4">(N10*$G13)</f>
        <v>16</v>
      </c>
      <c r="O13" s="897">
        <f t="shared" si="4"/>
        <v>88</v>
      </c>
      <c r="P13" s="897">
        <f t="shared" si="4"/>
        <v>8</v>
      </c>
      <c r="Q13" s="897">
        <f t="shared" si="4"/>
        <v>64</v>
      </c>
      <c r="R13" s="897">
        <f t="shared" si="4"/>
        <v>56</v>
      </c>
      <c r="S13" s="897">
        <f t="shared" si="4"/>
        <v>48</v>
      </c>
      <c r="T13" s="897">
        <f t="shared" si="4"/>
        <v>56</v>
      </c>
      <c r="U13" s="897">
        <f t="shared" si="4"/>
        <v>48</v>
      </c>
      <c r="V13" s="897">
        <f t="shared" si="4"/>
        <v>56</v>
      </c>
      <c r="W13" s="897">
        <f t="shared" si="4"/>
        <v>48</v>
      </c>
      <c r="X13" s="898">
        <f t="shared" si="4"/>
        <v>56</v>
      </c>
    </row>
    <row r="14" spans="3:24" s="101" customFormat="1" ht="20.100000000000001" hidden="1" customHeight="1">
      <c r="C14" s="878"/>
      <c r="D14" s="879">
        <v>1</v>
      </c>
      <c r="E14" s="879" t="s">
        <v>100</v>
      </c>
      <c r="F14" s="880" t="s">
        <v>637</v>
      </c>
      <c r="G14" s="1668"/>
      <c r="H14" s="982" t="s">
        <v>224</v>
      </c>
      <c r="I14" s="1630"/>
      <c r="J14" s="1633"/>
      <c r="K14" s="951" t="s">
        <v>688</v>
      </c>
      <c r="L14" s="946"/>
      <c r="M14" s="970">
        <f>(22.5*20.5)/1.046</f>
        <v>440.96558317399615</v>
      </c>
      <c r="N14" s="970">
        <f t="shared" ref="N14:W14" si="5">(22.5*20.5)/1.046</f>
        <v>440.96558317399615</v>
      </c>
      <c r="O14" s="970">
        <f t="shared" si="5"/>
        <v>440.96558317399615</v>
      </c>
      <c r="P14" s="970">
        <f t="shared" si="5"/>
        <v>440.96558317399615</v>
      </c>
      <c r="Q14" s="970">
        <f t="shared" si="5"/>
        <v>440.96558317399615</v>
      </c>
      <c r="R14" s="970">
        <f t="shared" si="5"/>
        <v>440.96558317399615</v>
      </c>
      <c r="S14" s="970">
        <f t="shared" si="5"/>
        <v>440.96558317399615</v>
      </c>
      <c r="T14" s="970">
        <f t="shared" si="5"/>
        <v>440.96558317399615</v>
      </c>
      <c r="U14" s="970">
        <f t="shared" si="5"/>
        <v>440.96558317399615</v>
      </c>
      <c r="V14" s="970">
        <f t="shared" si="5"/>
        <v>440.96558317399615</v>
      </c>
      <c r="W14" s="970">
        <f t="shared" si="5"/>
        <v>440.96558317399615</v>
      </c>
      <c r="X14" s="990">
        <v>594</v>
      </c>
    </row>
    <row r="15" spans="3:24" s="101" customFormat="1" ht="20.100000000000001" hidden="1" customHeight="1">
      <c r="C15" s="899"/>
      <c r="D15" s="959">
        <v>1</v>
      </c>
      <c r="E15" s="959" t="s">
        <v>100</v>
      </c>
      <c r="F15" s="900" t="s">
        <v>637</v>
      </c>
      <c r="G15" s="1666"/>
      <c r="H15" s="983" t="s">
        <v>224</v>
      </c>
      <c r="I15" s="1631"/>
      <c r="J15" s="1634"/>
      <c r="K15" s="901" t="s">
        <v>569</v>
      </c>
      <c r="L15" s="902">
        <f>SUM(M15:X15)</f>
        <v>301371.07456978969</v>
      </c>
      <c r="M15" s="927">
        <f t="shared" ref="M15:T15" si="6">(M13*M14)</f>
        <v>52915.869980879535</v>
      </c>
      <c r="N15" s="903">
        <f t="shared" si="6"/>
        <v>7055.4493307839384</v>
      </c>
      <c r="O15" s="903">
        <f t="shared" si="6"/>
        <v>38804.971319311662</v>
      </c>
      <c r="P15" s="903">
        <f t="shared" si="6"/>
        <v>3527.7246653919692</v>
      </c>
      <c r="Q15" s="903">
        <f t="shared" si="6"/>
        <v>28221.797323135754</v>
      </c>
      <c r="R15" s="903">
        <f t="shared" si="6"/>
        <v>24694.072657743785</v>
      </c>
      <c r="S15" s="903">
        <f t="shared" si="6"/>
        <v>21166.347992351817</v>
      </c>
      <c r="T15" s="903">
        <f t="shared" si="6"/>
        <v>24694.072657743785</v>
      </c>
      <c r="U15" s="903">
        <f>(U13*U14)</f>
        <v>21166.347992351817</v>
      </c>
      <c r="V15" s="903">
        <f>(V13*V14)</f>
        <v>24694.072657743785</v>
      </c>
      <c r="W15" s="903">
        <f>(W13*W14)</f>
        <v>21166.347992351817</v>
      </c>
      <c r="X15" s="904">
        <f>(X13*X14)</f>
        <v>33264</v>
      </c>
    </row>
    <row r="16" spans="3:24" s="101" customFormat="1" ht="20.100000000000001" customHeight="1">
      <c r="C16" s="899"/>
      <c r="D16" s="959">
        <v>2</v>
      </c>
      <c r="E16" s="959" t="s">
        <v>100</v>
      </c>
      <c r="F16" s="900" t="s">
        <v>637</v>
      </c>
      <c r="G16" s="1666">
        <v>4.4999999999999998E-2</v>
      </c>
      <c r="H16" s="1571" t="s">
        <v>220</v>
      </c>
      <c r="I16" s="1631">
        <f>(I10*G16)</f>
        <v>9</v>
      </c>
      <c r="J16" s="1636">
        <f>AVERAGE(M17:X17)</f>
        <v>265.16864011481886</v>
      </c>
      <c r="K16" s="901" t="s">
        <v>682</v>
      </c>
      <c r="L16" s="905">
        <f>SUM(M16:X16)</f>
        <v>747</v>
      </c>
      <c r="M16" s="906">
        <f>(M10*$G16)</f>
        <v>135</v>
      </c>
      <c r="N16" s="907">
        <f t="shared" ref="N16:X16" si="7">(N10*$G16)</f>
        <v>18</v>
      </c>
      <c r="O16" s="907">
        <f t="shared" si="7"/>
        <v>99</v>
      </c>
      <c r="P16" s="907">
        <f t="shared" si="7"/>
        <v>9</v>
      </c>
      <c r="Q16" s="907">
        <f t="shared" si="7"/>
        <v>72</v>
      </c>
      <c r="R16" s="907">
        <f t="shared" si="7"/>
        <v>63</v>
      </c>
      <c r="S16" s="907">
        <f t="shared" si="7"/>
        <v>54</v>
      </c>
      <c r="T16" s="907">
        <f t="shared" si="7"/>
        <v>63</v>
      </c>
      <c r="U16" s="907">
        <f>(U10*$G16)</f>
        <v>54</v>
      </c>
      <c r="V16" s="907">
        <f t="shared" si="7"/>
        <v>63</v>
      </c>
      <c r="W16" s="907">
        <f>(W10*$G16)</f>
        <v>54</v>
      </c>
      <c r="X16" s="908">
        <f t="shared" si="7"/>
        <v>63</v>
      </c>
    </row>
    <row r="17" spans="3:24" s="101" customFormat="1" ht="20.100000000000001" hidden="1" customHeight="1">
      <c r="C17" s="899"/>
      <c r="D17" s="959">
        <v>2</v>
      </c>
      <c r="E17" s="959" t="s">
        <v>100</v>
      </c>
      <c r="F17" s="900" t="s">
        <v>637</v>
      </c>
      <c r="G17" s="1666"/>
      <c r="H17" s="983" t="s">
        <v>220</v>
      </c>
      <c r="I17" s="1631"/>
      <c r="J17" s="1633"/>
      <c r="K17" s="951" t="s">
        <v>688</v>
      </c>
      <c r="L17" s="905"/>
      <c r="M17" s="970">
        <f t="shared" ref="M17:R17" si="8">(209.1)/0.929</f>
        <v>225.08073196986004</v>
      </c>
      <c r="N17" s="970">
        <f t="shared" si="8"/>
        <v>225.08073196986004</v>
      </c>
      <c r="O17" s="970">
        <f t="shared" si="8"/>
        <v>225.08073196986004</v>
      </c>
      <c r="P17" s="970">
        <f t="shared" si="8"/>
        <v>225.08073196986004</v>
      </c>
      <c r="Q17" s="970">
        <f t="shared" si="8"/>
        <v>225.08073196986004</v>
      </c>
      <c r="R17" s="970">
        <f t="shared" si="8"/>
        <v>225.08073196986004</v>
      </c>
      <c r="S17" s="970">
        <f t="shared" ref="S17" si="9">(32*20.5)/0.929</f>
        <v>706.13562970936482</v>
      </c>
      <c r="T17" s="970">
        <f>(209.1)/0.929</f>
        <v>225.08073196986004</v>
      </c>
      <c r="U17" s="970">
        <f>(209.1)/0.929</f>
        <v>225.08073196986004</v>
      </c>
      <c r="V17" s="970">
        <f>(209.1)/0.929</f>
        <v>225.08073196986004</v>
      </c>
      <c r="W17" s="970">
        <f>(209.1)/0.929</f>
        <v>225.08073196986004</v>
      </c>
      <c r="X17" s="990">
        <f>(209.1)/0.929</f>
        <v>225.08073196986004</v>
      </c>
    </row>
    <row r="18" spans="3:24" s="101" customFormat="1" ht="20.100000000000001" hidden="1" customHeight="1">
      <c r="C18" s="899"/>
      <c r="D18" s="959">
        <v>2</v>
      </c>
      <c r="E18" s="959" t="s">
        <v>100</v>
      </c>
      <c r="F18" s="900" t="s">
        <v>637</v>
      </c>
      <c r="G18" s="1666"/>
      <c r="H18" s="983" t="s">
        <v>220</v>
      </c>
      <c r="I18" s="1631"/>
      <c r="J18" s="1634"/>
      <c r="K18" s="901" t="s">
        <v>569</v>
      </c>
      <c r="L18" s="902">
        <f t="shared" ref="L18:L34" si="10">SUM(M18:X18)</f>
        <v>194112.27125941869</v>
      </c>
      <c r="M18" s="927">
        <f>(M16*M17)</f>
        <v>30385.898815931105</v>
      </c>
      <c r="N18" s="903">
        <f t="shared" ref="N18:X18" si="11">(N16*N17)</f>
        <v>4051.4531754574809</v>
      </c>
      <c r="O18" s="903">
        <f t="shared" si="11"/>
        <v>22282.992465016145</v>
      </c>
      <c r="P18" s="903">
        <f t="shared" si="11"/>
        <v>2025.7265877287405</v>
      </c>
      <c r="Q18" s="903">
        <f t="shared" si="11"/>
        <v>16205.812701829924</v>
      </c>
      <c r="R18" s="903">
        <f t="shared" si="11"/>
        <v>14180.086114101183</v>
      </c>
      <c r="S18" s="903">
        <f t="shared" si="11"/>
        <v>38131.324004305701</v>
      </c>
      <c r="T18" s="903">
        <f t="shared" si="11"/>
        <v>14180.086114101183</v>
      </c>
      <c r="U18" s="903">
        <f t="shared" si="11"/>
        <v>12154.359526372442</v>
      </c>
      <c r="V18" s="903">
        <f t="shared" si="11"/>
        <v>14180.086114101183</v>
      </c>
      <c r="W18" s="903">
        <f t="shared" si="11"/>
        <v>12154.359526372442</v>
      </c>
      <c r="X18" s="904">
        <f t="shared" si="11"/>
        <v>14180.086114101183</v>
      </c>
    </row>
    <row r="19" spans="3:24" s="101" customFormat="1" ht="20.100000000000001" customHeight="1">
      <c r="C19" s="899"/>
      <c r="D19" s="909">
        <v>3</v>
      </c>
      <c r="E19" s="959" t="s">
        <v>100</v>
      </c>
      <c r="F19" s="900" t="s">
        <v>637</v>
      </c>
      <c r="G19" s="1666">
        <v>4.4999999999999998E-2</v>
      </c>
      <c r="H19" s="1571" t="s">
        <v>223</v>
      </c>
      <c r="I19" s="1631">
        <f>(I10*G19)</f>
        <v>9</v>
      </c>
      <c r="J19" s="1636">
        <f>AVERAGE(M20:X20)</f>
        <v>437.5400213447171</v>
      </c>
      <c r="K19" s="901" t="s">
        <v>682</v>
      </c>
      <c r="L19" s="905">
        <f t="shared" si="10"/>
        <v>747</v>
      </c>
      <c r="M19" s="906">
        <f>(M10*$G19)</f>
        <v>135</v>
      </c>
      <c r="N19" s="907">
        <f t="shared" ref="N19:X19" si="12">(N10*$G19)</f>
        <v>18</v>
      </c>
      <c r="O19" s="907">
        <f t="shared" si="12"/>
        <v>99</v>
      </c>
      <c r="P19" s="907">
        <f t="shared" si="12"/>
        <v>9</v>
      </c>
      <c r="Q19" s="907">
        <f t="shared" si="12"/>
        <v>72</v>
      </c>
      <c r="R19" s="907">
        <f t="shared" si="12"/>
        <v>63</v>
      </c>
      <c r="S19" s="907">
        <f t="shared" si="12"/>
        <v>54</v>
      </c>
      <c r="T19" s="907">
        <f t="shared" si="12"/>
        <v>63</v>
      </c>
      <c r="U19" s="907">
        <f t="shared" si="12"/>
        <v>54</v>
      </c>
      <c r="V19" s="907">
        <f t="shared" si="12"/>
        <v>63</v>
      </c>
      <c r="W19" s="907">
        <f t="shared" si="12"/>
        <v>54</v>
      </c>
      <c r="X19" s="908">
        <f t="shared" si="12"/>
        <v>63</v>
      </c>
    </row>
    <row r="20" spans="3:24" s="101" customFormat="1" ht="20.100000000000001" hidden="1" customHeight="1">
      <c r="C20" s="899"/>
      <c r="D20" s="909">
        <v>3</v>
      </c>
      <c r="E20" s="959" t="s">
        <v>100</v>
      </c>
      <c r="F20" s="900" t="s">
        <v>637</v>
      </c>
      <c r="G20" s="1666"/>
      <c r="H20" s="983" t="s">
        <v>223</v>
      </c>
      <c r="I20" s="1631"/>
      <c r="J20" s="1633"/>
      <c r="K20" s="951" t="s">
        <v>688</v>
      </c>
      <c r="L20" s="905"/>
      <c r="M20" s="970">
        <f>(18*20.5)/0.937</f>
        <v>393.81003201707574</v>
      </c>
      <c r="N20" s="970">
        <f t="shared" ref="N20:W20" si="13">(18*20.5)/0.937</f>
        <v>393.81003201707574</v>
      </c>
      <c r="O20" s="970">
        <f t="shared" si="13"/>
        <v>393.81003201707574</v>
      </c>
      <c r="P20" s="970">
        <f t="shared" si="13"/>
        <v>393.81003201707574</v>
      </c>
      <c r="Q20" s="970">
        <f t="shared" si="13"/>
        <v>393.81003201707574</v>
      </c>
      <c r="R20" s="970">
        <f t="shared" si="13"/>
        <v>393.81003201707574</v>
      </c>
      <c r="S20" s="970">
        <f t="shared" si="13"/>
        <v>393.81003201707574</v>
      </c>
      <c r="T20" s="970">
        <f t="shared" si="13"/>
        <v>393.81003201707574</v>
      </c>
      <c r="U20" s="970">
        <f t="shared" si="13"/>
        <v>393.81003201707574</v>
      </c>
      <c r="V20" s="970">
        <f t="shared" si="13"/>
        <v>393.81003201707574</v>
      </c>
      <c r="W20" s="970">
        <f t="shared" si="13"/>
        <v>393.81003201707574</v>
      </c>
      <c r="X20" s="990">
        <f>860.7/0.937</f>
        <v>918.56990394877266</v>
      </c>
    </row>
    <row r="21" spans="3:24" s="101" customFormat="1" ht="20.100000000000001" hidden="1" customHeight="1">
      <c r="C21" s="899"/>
      <c r="D21" s="959">
        <v>3</v>
      </c>
      <c r="E21" s="959" t="s">
        <v>100</v>
      </c>
      <c r="F21" s="900" t="s">
        <v>637</v>
      </c>
      <c r="G21" s="1666"/>
      <c r="H21" s="983" t="s">
        <v>223</v>
      </c>
      <c r="I21" s="1631"/>
      <c r="J21" s="1634"/>
      <c r="K21" s="901" t="s">
        <v>569</v>
      </c>
      <c r="L21" s="902">
        <f t="shared" si="10"/>
        <v>327235.96584845253</v>
      </c>
      <c r="M21" s="927">
        <f t="shared" ref="M21:U21" si="14">(M19*M20)</f>
        <v>53164.354322305226</v>
      </c>
      <c r="N21" s="903">
        <f t="shared" si="14"/>
        <v>7088.5805763073631</v>
      </c>
      <c r="O21" s="903">
        <f t="shared" si="14"/>
        <v>38987.193169690501</v>
      </c>
      <c r="P21" s="903">
        <f t="shared" si="14"/>
        <v>3544.2902881536816</v>
      </c>
      <c r="Q21" s="903">
        <f t="shared" si="14"/>
        <v>28354.322305229452</v>
      </c>
      <c r="R21" s="903">
        <f t="shared" si="14"/>
        <v>24810.032017075773</v>
      </c>
      <c r="S21" s="903">
        <f t="shared" si="14"/>
        <v>21265.74172892209</v>
      </c>
      <c r="T21" s="903">
        <f t="shared" si="14"/>
        <v>24810.032017075773</v>
      </c>
      <c r="U21" s="903">
        <f t="shared" si="14"/>
        <v>21265.74172892209</v>
      </c>
      <c r="V21" s="903">
        <f>(V19*V20)</f>
        <v>24810.032017075773</v>
      </c>
      <c r="W21" s="903">
        <f>(W19*W20)</f>
        <v>21265.74172892209</v>
      </c>
      <c r="X21" s="904">
        <f>(X19*X20)</f>
        <v>57869.903948772677</v>
      </c>
    </row>
    <row r="22" spans="3:24" s="101" customFormat="1" ht="20.100000000000001" customHeight="1">
      <c r="C22" s="899"/>
      <c r="D22" s="959">
        <v>4</v>
      </c>
      <c r="E22" s="959" t="s">
        <v>100</v>
      </c>
      <c r="F22" s="900" t="s">
        <v>637</v>
      </c>
      <c r="G22" s="1666">
        <v>4.4999999999999998E-2</v>
      </c>
      <c r="H22" s="1571" t="s">
        <v>221</v>
      </c>
      <c r="I22" s="1631">
        <f>(I10*G22)</f>
        <v>9</v>
      </c>
      <c r="J22" s="1636">
        <f>AVERAGE(M23:X23)</f>
        <v>234.60131396957124</v>
      </c>
      <c r="K22" s="901" t="s">
        <v>682</v>
      </c>
      <c r="L22" s="905">
        <f t="shared" si="10"/>
        <v>747</v>
      </c>
      <c r="M22" s="906">
        <f>(M10*$G22)</f>
        <v>135</v>
      </c>
      <c r="N22" s="907">
        <f t="shared" ref="N22:X22" si="15">(N10*$G22)</f>
        <v>18</v>
      </c>
      <c r="O22" s="907">
        <f t="shared" si="15"/>
        <v>99</v>
      </c>
      <c r="P22" s="907">
        <f t="shared" si="15"/>
        <v>9</v>
      </c>
      <c r="Q22" s="907">
        <f t="shared" si="15"/>
        <v>72</v>
      </c>
      <c r="R22" s="907">
        <f t="shared" si="15"/>
        <v>63</v>
      </c>
      <c r="S22" s="907">
        <f t="shared" si="15"/>
        <v>54</v>
      </c>
      <c r="T22" s="907">
        <f t="shared" si="15"/>
        <v>63</v>
      </c>
      <c r="U22" s="907">
        <f t="shared" si="15"/>
        <v>54</v>
      </c>
      <c r="V22" s="907">
        <f t="shared" si="15"/>
        <v>63</v>
      </c>
      <c r="W22" s="907">
        <f t="shared" si="15"/>
        <v>54</v>
      </c>
      <c r="X22" s="908">
        <f t="shared" si="15"/>
        <v>63</v>
      </c>
    </row>
    <row r="23" spans="3:24" s="101" customFormat="1" ht="20.100000000000001" hidden="1" customHeight="1">
      <c r="C23" s="899"/>
      <c r="D23" s="959">
        <v>4</v>
      </c>
      <c r="E23" s="959" t="s">
        <v>100</v>
      </c>
      <c r="F23" s="900" t="s">
        <v>637</v>
      </c>
      <c r="G23" s="1666"/>
      <c r="H23" s="983" t="s">
        <v>221</v>
      </c>
      <c r="I23" s="1631"/>
      <c r="J23" s="1633"/>
      <c r="K23" s="951" t="s">
        <v>688</v>
      </c>
      <c r="L23" s="905"/>
      <c r="M23" s="970">
        <v>167</v>
      </c>
      <c r="N23" s="970">
        <v>167</v>
      </c>
      <c r="O23" s="970">
        <v>167</v>
      </c>
      <c r="P23" s="970">
        <v>167</v>
      </c>
      <c r="Q23" s="970">
        <v>167</v>
      </c>
      <c r="R23" s="970">
        <v>167</v>
      </c>
      <c r="S23" s="970">
        <f t="shared" ref="S23" si="16">(46*20.5)/0.964</f>
        <v>978.21576763485484</v>
      </c>
      <c r="T23" s="970">
        <v>167</v>
      </c>
      <c r="U23" s="970">
        <v>167</v>
      </c>
      <c r="V23" s="970">
        <v>167</v>
      </c>
      <c r="W23" s="970">
        <v>167</v>
      </c>
      <c r="X23" s="990">
        <v>167</v>
      </c>
    </row>
    <row r="24" spans="3:24" s="101" customFormat="1" ht="20.100000000000001" hidden="1" customHeight="1">
      <c r="C24" s="899"/>
      <c r="D24" s="959">
        <v>4</v>
      </c>
      <c r="E24" s="959" t="s">
        <v>100</v>
      </c>
      <c r="F24" s="900" t="s">
        <v>637</v>
      </c>
      <c r="G24" s="1666"/>
      <c r="H24" s="983" t="s">
        <v>221</v>
      </c>
      <c r="I24" s="1631"/>
      <c r="J24" s="1634"/>
      <c r="K24" s="901" t="s">
        <v>569</v>
      </c>
      <c r="L24" s="902">
        <f t="shared" si="10"/>
        <v>168554.65145228215</v>
      </c>
      <c r="M24" s="927">
        <f t="shared" ref="M24:U24" si="17">(M22*M23)</f>
        <v>22545</v>
      </c>
      <c r="N24" s="903">
        <f t="shared" si="17"/>
        <v>3006</v>
      </c>
      <c r="O24" s="903">
        <f t="shared" si="17"/>
        <v>16533</v>
      </c>
      <c r="P24" s="903">
        <f t="shared" si="17"/>
        <v>1503</v>
      </c>
      <c r="Q24" s="903">
        <f t="shared" si="17"/>
        <v>12024</v>
      </c>
      <c r="R24" s="903">
        <f t="shared" si="17"/>
        <v>10521</v>
      </c>
      <c r="S24" s="903">
        <f t="shared" si="17"/>
        <v>52823.65145228216</v>
      </c>
      <c r="T24" s="903">
        <f t="shared" si="17"/>
        <v>10521</v>
      </c>
      <c r="U24" s="903">
        <f t="shared" si="17"/>
        <v>9018</v>
      </c>
      <c r="V24" s="903">
        <f>(V22*V23)</f>
        <v>10521</v>
      </c>
      <c r="W24" s="903">
        <f>(W22*W23)</f>
        <v>9018</v>
      </c>
      <c r="X24" s="904">
        <f>(X22*X23)</f>
        <v>10521</v>
      </c>
    </row>
    <row r="25" spans="3:24" s="101" customFormat="1" ht="20.100000000000001" customHeight="1">
      <c r="C25" s="899"/>
      <c r="D25" s="959">
        <v>5</v>
      </c>
      <c r="E25" s="959" t="s">
        <v>100</v>
      </c>
      <c r="F25" s="900" t="s">
        <v>637</v>
      </c>
      <c r="G25" s="1666">
        <v>4.4999999999999998E-2</v>
      </c>
      <c r="H25" s="1571" t="s">
        <v>226</v>
      </c>
      <c r="I25" s="1631">
        <f>(I10*G25)</f>
        <v>9</v>
      </c>
      <c r="J25" s="1636">
        <f>AVERAGE(M26:X26)</f>
        <v>1840.6107112890923</v>
      </c>
      <c r="K25" s="901" t="s">
        <v>682</v>
      </c>
      <c r="L25" s="905">
        <f t="shared" si="10"/>
        <v>747</v>
      </c>
      <c r="M25" s="906">
        <f>(M10*$G25)</f>
        <v>135</v>
      </c>
      <c r="N25" s="907">
        <f t="shared" ref="N25:X25" si="18">(N10*$G25)</f>
        <v>18</v>
      </c>
      <c r="O25" s="907">
        <f t="shared" si="18"/>
        <v>99</v>
      </c>
      <c r="P25" s="907">
        <f t="shared" si="18"/>
        <v>9</v>
      </c>
      <c r="Q25" s="907">
        <f t="shared" si="18"/>
        <v>72</v>
      </c>
      <c r="R25" s="907">
        <f t="shared" si="18"/>
        <v>63</v>
      </c>
      <c r="S25" s="907">
        <f t="shared" si="18"/>
        <v>54</v>
      </c>
      <c r="T25" s="907">
        <f t="shared" si="18"/>
        <v>63</v>
      </c>
      <c r="U25" s="907">
        <f t="shared" si="18"/>
        <v>54</v>
      </c>
      <c r="V25" s="907">
        <f t="shared" si="18"/>
        <v>63</v>
      </c>
      <c r="W25" s="907">
        <f t="shared" si="18"/>
        <v>54</v>
      </c>
      <c r="X25" s="908">
        <f t="shared" si="18"/>
        <v>63</v>
      </c>
    </row>
    <row r="26" spans="3:24" s="101" customFormat="1" ht="20.100000000000001" hidden="1" customHeight="1">
      <c r="C26" s="899"/>
      <c r="D26" s="959">
        <v>5</v>
      </c>
      <c r="E26" s="959" t="s">
        <v>100</v>
      </c>
      <c r="F26" s="900" t="s">
        <v>637</v>
      </c>
      <c r="G26" s="1666"/>
      <c r="H26" s="983" t="s">
        <v>226</v>
      </c>
      <c r="I26" s="1631"/>
      <c r="J26" s="1633"/>
      <c r="K26" s="951" t="s">
        <v>688</v>
      </c>
      <c r="L26" s="905"/>
      <c r="M26" s="970">
        <f>(78.5*20.5)/0.874</f>
        <v>1841.2471395881007</v>
      </c>
      <c r="N26" s="970">
        <f t="shared" ref="N26:V26" si="19">(78.5*20.5)/0.874</f>
        <v>1841.2471395881007</v>
      </c>
      <c r="O26" s="970">
        <f t="shared" si="19"/>
        <v>1841.2471395881007</v>
      </c>
      <c r="P26" s="970">
        <f t="shared" si="19"/>
        <v>1841.2471395881007</v>
      </c>
      <c r="Q26" s="970">
        <f t="shared" si="19"/>
        <v>1841.2471395881007</v>
      </c>
      <c r="R26" s="970">
        <f t="shared" si="19"/>
        <v>1841.2471395881007</v>
      </c>
      <c r="S26" s="970">
        <f t="shared" si="19"/>
        <v>1841.2471395881007</v>
      </c>
      <c r="T26" s="970">
        <f t="shared" si="19"/>
        <v>1841.2471395881007</v>
      </c>
      <c r="U26" s="970">
        <f t="shared" si="19"/>
        <v>1841.2471395881007</v>
      </c>
      <c r="V26" s="970">
        <f t="shared" si="19"/>
        <v>1841.2471395881007</v>
      </c>
      <c r="W26" s="970">
        <f>(78.5*20.5)/0.874</f>
        <v>1841.2471395881007</v>
      </c>
      <c r="X26" s="990">
        <v>1833.61</v>
      </c>
    </row>
    <row r="27" spans="3:24" s="101" customFormat="1" ht="20.100000000000001" hidden="1" customHeight="1">
      <c r="C27" s="899"/>
      <c r="D27" s="959">
        <v>5</v>
      </c>
      <c r="E27" s="959" t="s">
        <v>100</v>
      </c>
      <c r="F27" s="900" t="s">
        <v>637</v>
      </c>
      <c r="G27" s="1666"/>
      <c r="H27" s="983" t="s">
        <v>226</v>
      </c>
      <c r="I27" s="1631"/>
      <c r="J27" s="1634"/>
      <c r="K27" s="901" t="s">
        <v>569</v>
      </c>
      <c r="L27" s="902">
        <f t="shared" si="10"/>
        <v>1374930.4734782609</v>
      </c>
      <c r="M27" s="927">
        <f t="shared" ref="M27:U27" si="20">(M25*M26)</f>
        <v>248568.36384439361</v>
      </c>
      <c r="N27" s="903">
        <f t="shared" si="20"/>
        <v>33142.448512585812</v>
      </c>
      <c r="O27" s="903">
        <f t="shared" si="20"/>
        <v>182283.46681922197</v>
      </c>
      <c r="P27" s="903">
        <f t="shared" si="20"/>
        <v>16571.224256292906</v>
      </c>
      <c r="Q27" s="903">
        <f t="shared" si="20"/>
        <v>132569.79405034325</v>
      </c>
      <c r="R27" s="903">
        <f t="shared" si="20"/>
        <v>115998.56979405035</v>
      </c>
      <c r="S27" s="903">
        <f t="shared" si="20"/>
        <v>99427.345537757443</v>
      </c>
      <c r="T27" s="903">
        <f t="shared" si="20"/>
        <v>115998.56979405035</v>
      </c>
      <c r="U27" s="903">
        <f t="shared" si="20"/>
        <v>99427.345537757443</v>
      </c>
      <c r="V27" s="903">
        <f>(V25*V26)</f>
        <v>115998.56979405035</v>
      </c>
      <c r="W27" s="903">
        <f>(W25*W26)</f>
        <v>99427.345537757443</v>
      </c>
      <c r="X27" s="904">
        <f>(X25*X26)</f>
        <v>115517.43</v>
      </c>
    </row>
    <row r="28" spans="3:24" s="101" customFormat="1" ht="20.100000000000001" customHeight="1">
      <c r="C28" s="899"/>
      <c r="D28" s="959">
        <v>6</v>
      </c>
      <c r="E28" s="959" t="s">
        <v>100</v>
      </c>
      <c r="F28" s="900" t="s">
        <v>637</v>
      </c>
      <c r="G28" s="1666">
        <v>0.12</v>
      </c>
      <c r="H28" s="1570" t="s">
        <v>507</v>
      </c>
      <c r="I28" s="1631">
        <f>(I10*G28)</f>
        <v>24</v>
      </c>
      <c r="J28" s="1636">
        <f>AVERAGE(M29:X29)</f>
        <v>83.735512671100722</v>
      </c>
      <c r="K28" s="901" t="s">
        <v>682</v>
      </c>
      <c r="L28" s="905">
        <f t="shared" si="10"/>
        <v>1992</v>
      </c>
      <c r="M28" s="906">
        <f>(M10*$G28)</f>
        <v>360</v>
      </c>
      <c r="N28" s="907">
        <f>(N10*$G28)</f>
        <v>48</v>
      </c>
      <c r="O28" s="907">
        <f t="shared" ref="O28:X28" si="21">(O10*$G28)</f>
        <v>264</v>
      </c>
      <c r="P28" s="907">
        <f t="shared" si="21"/>
        <v>24</v>
      </c>
      <c r="Q28" s="907">
        <f t="shared" si="21"/>
        <v>192</v>
      </c>
      <c r="R28" s="907">
        <f t="shared" si="21"/>
        <v>168</v>
      </c>
      <c r="S28" s="907">
        <f t="shared" si="21"/>
        <v>144</v>
      </c>
      <c r="T28" s="907">
        <f t="shared" si="21"/>
        <v>168</v>
      </c>
      <c r="U28" s="907">
        <f t="shared" si="21"/>
        <v>144</v>
      </c>
      <c r="V28" s="907">
        <f t="shared" si="21"/>
        <v>168</v>
      </c>
      <c r="W28" s="907">
        <f t="shared" si="21"/>
        <v>144</v>
      </c>
      <c r="X28" s="908">
        <f t="shared" si="21"/>
        <v>168</v>
      </c>
    </row>
    <row r="29" spans="3:24" s="101" customFormat="1" ht="20.100000000000001" hidden="1" customHeight="1">
      <c r="C29" s="899"/>
      <c r="D29" s="959">
        <v>6</v>
      </c>
      <c r="E29" s="959" t="s">
        <v>100</v>
      </c>
      <c r="F29" s="900" t="s">
        <v>637</v>
      </c>
      <c r="G29" s="1666"/>
      <c r="H29" s="984" t="s">
        <v>507</v>
      </c>
      <c r="I29" s="1631"/>
      <c r="J29" s="1633"/>
      <c r="K29" s="951" t="s">
        <v>688</v>
      </c>
      <c r="L29" s="905"/>
      <c r="M29" s="970">
        <f>(4*19.0171454545455)/0.849</f>
        <v>89.597858443088342</v>
      </c>
      <c r="N29" s="970">
        <f>(4*18.6221947368421)/0.849</f>
        <v>87.737077676523441</v>
      </c>
      <c r="O29" s="970">
        <f>(4*18.3886909090909)/0.849</f>
        <v>86.636941856729806</v>
      </c>
      <c r="P29" s="970">
        <f>(4*18.0879388888889)/0.849</f>
        <v>85.21997120795713</v>
      </c>
      <c r="Q29" s="970">
        <f>(4*17.7489227272727)/0.849</f>
        <v>83.62272191883487</v>
      </c>
      <c r="R29" s="970">
        <f>(4*17.26875)/0.849</f>
        <v>81.360424028268554</v>
      </c>
      <c r="S29" s="970">
        <f>(4*16.9242476190476)/0.849</f>
        <v>79.737326827079386</v>
      </c>
      <c r="T29" s="970">
        <f>(4*16.9685260869565)/0.849</f>
        <v>79.945941516873972</v>
      </c>
      <c r="U29" s="970">
        <f>(4*17.2840857142857)/0.849</f>
        <v>81.432677099108119</v>
      </c>
      <c r="V29" s="970">
        <f>(4*18.0539636363636)/0.849</f>
        <v>85.059899346824977</v>
      </c>
      <c r="W29" s="970">
        <f>(4*17.409885)/0.849</f>
        <v>82.02537102473498</v>
      </c>
      <c r="X29" s="990">
        <f>(4*17.5)/0.849</f>
        <v>82.449941107184927</v>
      </c>
    </row>
    <row r="30" spans="3:24" s="101" customFormat="1" ht="20.100000000000001" hidden="1" customHeight="1">
      <c r="C30" s="899"/>
      <c r="D30" s="959">
        <v>6</v>
      </c>
      <c r="E30" s="959" t="s">
        <v>100</v>
      </c>
      <c r="F30" s="900" t="s">
        <v>637</v>
      </c>
      <c r="G30" s="1666"/>
      <c r="H30" s="984" t="s">
        <v>507</v>
      </c>
      <c r="I30" s="1631"/>
      <c r="J30" s="1634"/>
      <c r="K30" s="901" t="s">
        <v>569</v>
      </c>
      <c r="L30" s="902">
        <f t="shared" si="10"/>
        <v>167700.85993635931</v>
      </c>
      <c r="M30" s="927">
        <f t="shared" ref="M30:U30" si="22">(M28*M29)</f>
        <v>32255.229039511803</v>
      </c>
      <c r="N30" s="903">
        <f t="shared" si="22"/>
        <v>4211.3797284731254</v>
      </c>
      <c r="O30" s="903">
        <f t="shared" si="22"/>
        <v>22872.152650176668</v>
      </c>
      <c r="P30" s="903">
        <f t="shared" si="22"/>
        <v>2045.279308990971</v>
      </c>
      <c r="Q30" s="903">
        <f t="shared" si="22"/>
        <v>16055.562608416294</v>
      </c>
      <c r="R30" s="903">
        <f t="shared" si="22"/>
        <v>13668.551236749117</v>
      </c>
      <c r="S30" s="903">
        <f t="shared" si="22"/>
        <v>11482.175063099432</v>
      </c>
      <c r="T30" s="903">
        <f t="shared" si="22"/>
        <v>13430.918174834827</v>
      </c>
      <c r="U30" s="903">
        <f t="shared" si="22"/>
        <v>11726.305502271569</v>
      </c>
      <c r="V30" s="903">
        <f>(V28*V29)</f>
        <v>14290.063090266596</v>
      </c>
      <c r="W30" s="903">
        <f>(W28*W29)</f>
        <v>11811.653427561838</v>
      </c>
      <c r="X30" s="904">
        <f>(X28*X29)</f>
        <v>13851.590106007068</v>
      </c>
    </row>
    <row r="31" spans="3:24" s="101" customFormat="1" ht="20.100000000000001" customHeight="1">
      <c r="C31" s="899"/>
      <c r="D31" s="959">
        <v>7</v>
      </c>
      <c r="E31" s="959" t="s">
        <v>100</v>
      </c>
      <c r="F31" s="900" t="s">
        <v>637</v>
      </c>
      <c r="G31" s="1666">
        <v>0.25</v>
      </c>
      <c r="H31" s="1570" t="s">
        <v>211</v>
      </c>
      <c r="I31" s="1631">
        <f>(I10*G31)</f>
        <v>50</v>
      </c>
      <c r="J31" s="1636">
        <f>AVERAGE(M32:X32)</f>
        <v>80.975000000000009</v>
      </c>
      <c r="K31" s="901" t="s">
        <v>682</v>
      </c>
      <c r="L31" s="905">
        <f t="shared" si="10"/>
        <v>4150</v>
      </c>
      <c r="M31" s="906">
        <f>(M10*$G31)</f>
        <v>750</v>
      </c>
      <c r="N31" s="907">
        <f>(N10*$G31)</f>
        <v>100</v>
      </c>
      <c r="O31" s="907">
        <f t="shared" ref="O31:X31" si="23">(O10*$G31)</f>
        <v>550</v>
      </c>
      <c r="P31" s="907">
        <f t="shared" si="23"/>
        <v>50</v>
      </c>
      <c r="Q31" s="907">
        <f t="shared" si="23"/>
        <v>400</v>
      </c>
      <c r="R31" s="907">
        <f t="shared" si="23"/>
        <v>350</v>
      </c>
      <c r="S31" s="907">
        <f t="shared" si="23"/>
        <v>300</v>
      </c>
      <c r="T31" s="907">
        <f t="shared" si="23"/>
        <v>350</v>
      </c>
      <c r="U31" s="907">
        <f t="shared" si="23"/>
        <v>300</v>
      </c>
      <c r="V31" s="907">
        <f t="shared" si="23"/>
        <v>350</v>
      </c>
      <c r="W31" s="907">
        <f t="shared" si="23"/>
        <v>300</v>
      </c>
      <c r="X31" s="908">
        <f t="shared" si="23"/>
        <v>350</v>
      </c>
    </row>
    <row r="32" spans="3:24" s="101" customFormat="1" ht="20.100000000000001" hidden="1" customHeight="1">
      <c r="C32" s="899"/>
      <c r="D32" s="959">
        <v>7</v>
      </c>
      <c r="E32" s="959" t="s">
        <v>100</v>
      </c>
      <c r="F32" s="900" t="s">
        <v>637</v>
      </c>
      <c r="G32" s="1666"/>
      <c r="H32" s="984" t="s">
        <v>211</v>
      </c>
      <c r="I32" s="1631"/>
      <c r="J32" s="1633"/>
      <c r="K32" s="951" t="s">
        <v>688</v>
      </c>
      <c r="L32" s="905"/>
      <c r="M32" s="970">
        <v>83</v>
      </c>
      <c r="N32" s="970">
        <v>83</v>
      </c>
      <c r="O32" s="970">
        <v>83</v>
      </c>
      <c r="P32" s="970">
        <v>83</v>
      </c>
      <c r="Q32" s="970">
        <v>83</v>
      </c>
      <c r="R32" s="970">
        <v>83</v>
      </c>
      <c r="S32" s="970">
        <v>83</v>
      </c>
      <c r="T32" s="970">
        <v>83</v>
      </c>
      <c r="U32" s="970">
        <v>83</v>
      </c>
      <c r="V32" s="970">
        <v>75.599999999999994</v>
      </c>
      <c r="W32" s="970">
        <v>75.599999999999994</v>
      </c>
      <c r="X32" s="990">
        <v>73.5</v>
      </c>
    </row>
    <row r="33" spans="3:24" s="101" customFormat="1" ht="20.100000000000001" hidden="1" customHeight="1">
      <c r="C33" s="899"/>
      <c r="D33" s="959">
        <v>7</v>
      </c>
      <c r="E33" s="959" t="s">
        <v>100</v>
      </c>
      <c r="F33" s="900" t="s">
        <v>637</v>
      </c>
      <c r="G33" s="1666"/>
      <c r="H33" s="984" t="s">
        <v>211</v>
      </c>
      <c r="I33" s="1631"/>
      <c r="J33" s="1634"/>
      <c r="K33" s="901" t="s">
        <v>569</v>
      </c>
      <c r="L33" s="902">
        <f t="shared" si="10"/>
        <v>336315</v>
      </c>
      <c r="M33" s="927">
        <f>(M31*M32)</f>
        <v>62250</v>
      </c>
      <c r="N33" s="903">
        <f>(N31*N32)</f>
        <v>8300</v>
      </c>
      <c r="O33" s="903">
        <f t="shared" ref="O33:U33" si="24">(O31*O32)</f>
        <v>45650</v>
      </c>
      <c r="P33" s="903">
        <f t="shared" si="24"/>
        <v>4150</v>
      </c>
      <c r="Q33" s="903">
        <f t="shared" si="24"/>
        <v>33200</v>
      </c>
      <c r="R33" s="903">
        <f t="shared" si="24"/>
        <v>29050</v>
      </c>
      <c r="S33" s="903">
        <f t="shared" si="24"/>
        <v>24900</v>
      </c>
      <c r="T33" s="903">
        <f t="shared" si="24"/>
        <v>29050</v>
      </c>
      <c r="U33" s="903">
        <f t="shared" si="24"/>
        <v>24900</v>
      </c>
      <c r="V33" s="903">
        <f>(V31*V32)</f>
        <v>26459.999999999996</v>
      </c>
      <c r="W33" s="903">
        <f>(W31*W32)</f>
        <v>22680</v>
      </c>
      <c r="X33" s="904">
        <f>(X31*X32)</f>
        <v>25725</v>
      </c>
    </row>
    <row r="34" spans="3:24" s="101" customFormat="1" ht="20.100000000000001" customHeight="1" thickBot="1">
      <c r="C34" s="899"/>
      <c r="D34" s="959">
        <v>8</v>
      </c>
      <c r="E34" s="959" t="s">
        <v>100</v>
      </c>
      <c r="F34" s="900" t="s">
        <v>637</v>
      </c>
      <c r="G34" s="910">
        <v>0.41</v>
      </c>
      <c r="H34" s="983" t="s">
        <v>204</v>
      </c>
      <c r="I34" s="960">
        <f>I10-(I13+I16+I19+I22+I25+I28+I31)</f>
        <v>82</v>
      </c>
      <c r="J34" s="672"/>
      <c r="K34" s="901" t="s">
        <v>682</v>
      </c>
      <c r="L34" s="905">
        <f t="shared" si="10"/>
        <v>6806</v>
      </c>
      <c r="M34" s="906">
        <f>(M10*$G34)</f>
        <v>1230</v>
      </c>
      <c r="N34" s="907">
        <f t="shared" ref="N34:X34" si="25">(N10*$G34)</f>
        <v>164</v>
      </c>
      <c r="O34" s="907">
        <f t="shared" si="25"/>
        <v>902</v>
      </c>
      <c r="P34" s="907">
        <f t="shared" si="25"/>
        <v>82</v>
      </c>
      <c r="Q34" s="907">
        <f t="shared" si="25"/>
        <v>656</v>
      </c>
      <c r="R34" s="907">
        <f t="shared" si="25"/>
        <v>574</v>
      </c>
      <c r="S34" s="907">
        <f t="shared" si="25"/>
        <v>491.99999999999994</v>
      </c>
      <c r="T34" s="907">
        <f t="shared" si="25"/>
        <v>574</v>
      </c>
      <c r="U34" s="907">
        <f t="shared" si="25"/>
        <v>491.99999999999994</v>
      </c>
      <c r="V34" s="907">
        <f t="shared" si="25"/>
        <v>574</v>
      </c>
      <c r="W34" s="907">
        <f t="shared" si="25"/>
        <v>491.99999999999994</v>
      </c>
      <c r="X34" s="908">
        <f t="shared" si="25"/>
        <v>574</v>
      </c>
    </row>
    <row r="35" spans="3:24" s="101" customFormat="1" ht="20.100000000000001" customHeight="1" collapsed="1" thickBot="1">
      <c r="C35" s="890">
        <v>2</v>
      </c>
      <c r="D35" s="891">
        <v>0</v>
      </c>
      <c r="E35" s="891" t="s">
        <v>242</v>
      </c>
      <c r="F35" s="892" t="s">
        <v>51</v>
      </c>
      <c r="G35" s="1637"/>
      <c r="H35" s="1637"/>
      <c r="I35" s="1646">
        <v>200</v>
      </c>
      <c r="J35" s="1641" t="e">
        <f>AVERAGE(M36:X36)</f>
        <v>#DIV/0!</v>
      </c>
      <c r="K35" s="894" t="s">
        <v>682</v>
      </c>
      <c r="L35" s="1098">
        <f t="shared" ref="L35:L85" si="26">SUM(M35:X35)</f>
        <v>12800</v>
      </c>
      <c r="M35" s="973">
        <v>800</v>
      </c>
      <c r="N35" s="932">
        <v>1800</v>
      </c>
      <c r="O35" s="932"/>
      <c r="P35" s="1569">
        <v>600</v>
      </c>
      <c r="Q35" s="1569">
        <v>800</v>
      </c>
      <c r="R35" s="1440">
        <v>1000</v>
      </c>
      <c r="S35" s="1440">
        <v>1400</v>
      </c>
      <c r="T35" s="1440">
        <v>1200</v>
      </c>
      <c r="U35" s="1440">
        <v>1400</v>
      </c>
      <c r="V35" s="1440">
        <v>1200</v>
      </c>
      <c r="W35" s="1440">
        <v>1400</v>
      </c>
      <c r="X35" s="1226">
        <v>1200</v>
      </c>
    </row>
    <row r="36" spans="3:24" s="101" customFormat="1" ht="20.100000000000001" hidden="1" customHeight="1">
      <c r="C36" s="948"/>
      <c r="D36" s="971">
        <v>0</v>
      </c>
      <c r="E36" s="971" t="s">
        <v>242</v>
      </c>
      <c r="F36" s="950" t="s">
        <v>51</v>
      </c>
      <c r="G36" s="1617"/>
      <c r="H36" s="1617"/>
      <c r="I36" s="1619"/>
      <c r="J36" s="1621"/>
      <c r="K36" s="951" t="s">
        <v>688</v>
      </c>
      <c r="L36" s="952"/>
      <c r="M36" s="970">
        <f>(M37/M35)</f>
        <v>138.88407307734471</v>
      </c>
      <c r="N36" s="970">
        <f>(N37/N35)</f>
        <v>138.54913253936303</v>
      </c>
      <c r="O36" s="970" t="e">
        <f>(O37/O35)</f>
        <v>#DIV/0!</v>
      </c>
      <c r="P36" s="970">
        <f>(P37/P35)</f>
        <v>138.09605337502109</v>
      </c>
      <c r="Q36" s="970"/>
      <c r="R36" s="970">
        <f>(R37/R35)</f>
        <v>137.40133488267713</v>
      </c>
      <c r="S36" s="970">
        <f>(S37/S35)</f>
        <v>175.59356920562348</v>
      </c>
      <c r="T36" s="970">
        <f>(T37/T35)</f>
        <v>137.14672803062612</v>
      </c>
      <c r="U36" s="970"/>
      <c r="V36" s="970">
        <f>(V37/V35)</f>
        <v>136.21724044001729</v>
      </c>
      <c r="W36" s="970">
        <f>(W37/W35)</f>
        <v>135.6710253420411</v>
      </c>
      <c r="X36" s="976">
        <f>(X37/X35)</f>
        <v>135.22244795688209</v>
      </c>
    </row>
    <row r="37" spans="3:24" s="101" customFormat="1" ht="20.100000000000001" hidden="1" customHeight="1" thickBot="1">
      <c r="C37" s="885"/>
      <c r="D37" s="972">
        <v>0</v>
      </c>
      <c r="E37" s="972" t="s">
        <v>242</v>
      </c>
      <c r="F37" s="887" t="s">
        <v>51</v>
      </c>
      <c r="G37" s="1618"/>
      <c r="H37" s="1618"/>
      <c r="I37" s="1620"/>
      <c r="J37" s="1622"/>
      <c r="K37" s="888" t="s">
        <v>569</v>
      </c>
      <c r="L37" s="889">
        <f t="shared" si="26"/>
        <v>1588433.9628662514</v>
      </c>
      <c r="M37" s="919">
        <f>(M40+M43+M46+M49)</f>
        <v>111107.25846187577</v>
      </c>
      <c r="N37" s="974">
        <f t="shared" ref="N37:X37" si="27">(N40+N43+N46+N49)</f>
        <v>249388.43857085344</v>
      </c>
      <c r="O37" s="974">
        <f t="shared" si="27"/>
        <v>0</v>
      </c>
      <c r="P37" s="974">
        <f t="shared" si="27"/>
        <v>82857.632025012645</v>
      </c>
      <c r="Q37" s="974">
        <f t="shared" si="27"/>
        <v>81605.16684607105</v>
      </c>
      <c r="R37" s="974">
        <f t="shared" si="27"/>
        <v>137401.33488267713</v>
      </c>
      <c r="S37" s="974">
        <f t="shared" si="27"/>
        <v>245830.99688787287</v>
      </c>
      <c r="T37" s="974">
        <f t="shared" si="27"/>
        <v>164576.07363675133</v>
      </c>
      <c r="U37" s="974">
        <f t="shared" si="27"/>
        <v>0</v>
      </c>
      <c r="V37" s="974">
        <f t="shared" si="27"/>
        <v>163460.68852802075</v>
      </c>
      <c r="W37" s="974">
        <f t="shared" si="27"/>
        <v>189939.43547885754</v>
      </c>
      <c r="X37" s="975">
        <f t="shared" si="27"/>
        <v>162266.93754825852</v>
      </c>
    </row>
    <row r="38" spans="3:24" ht="20.100000000000001" customHeight="1">
      <c r="C38" s="890"/>
      <c r="D38" s="891">
        <v>1</v>
      </c>
      <c r="E38" s="920" t="s">
        <v>100</v>
      </c>
      <c r="F38" s="892" t="s">
        <v>51</v>
      </c>
      <c r="G38" s="1151">
        <v>0.08</v>
      </c>
      <c r="H38" s="1572" t="s">
        <v>220</v>
      </c>
      <c r="I38" s="1671">
        <f>(I35*G38)</f>
        <v>16</v>
      </c>
      <c r="J38" s="1632">
        <f>AVERAGE(M39:X39)</f>
        <v>268.81299540072416</v>
      </c>
      <c r="K38" s="922" t="s">
        <v>682</v>
      </c>
      <c r="L38" s="895">
        <f t="shared" si="26"/>
        <v>1024</v>
      </c>
      <c r="M38" s="923">
        <f>(M35*$G38)</f>
        <v>64</v>
      </c>
      <c r="N38" s="897">
        <f t="shared" ref="N38:X38" si="28">(N35*$G38)</f>
        <v>144</v>
      </c>
      <c r="O38" s="897">
        <f>(O35*$G38)</f>
        <v>0</v>
      </c>
      <c r="P38" s="897">
        <f t="shared" si="28"/>
        <v>48</v>
      </c>
      <c r="Q38" s="897">
        <f t="shared" si="28"/>
        <v>64</v>
      </c>
      <c r="R38" s="897">
        <f t="shared" si="28"/>
        <v>80</v>
      </c>
      <c r="S38" s="897">
        <f t="shared" si="28"/>
        <v>112</v>
      </c>
      <c r="T38" s="897">
        <f t="shared" si="28"/>
        <v>96</v>
      </c>
      <c r="U38" s="897">
        <f t="shared" si="28"/>
        <v>112</v>
      </c>
      <c r="V38" s="897">
        <f t="shared" si="28"/>
        <v>96</v>
      </c>
      <c r="W38" s="897">
        <f t="shared" si="28"/>
        <v>112</v>
      </c>
      <c r="X38" s="898">
        <f t="shared" si="28"/>
        <v>96</v>
      </c>
    </row>
    <row r="39" spans="3:24" ht="20.100000000000001" hidden="1" customHeight="1">
      <c r="C39" s="878"/>
      <c r="D39" s="879">
        <v>1</v>
      </c>
      <c r="E39" s="961" t="s">
        <v>100</v>
      </c>
      <c r="F39" s="880" t="s">
        <v>51</v>
      </c>
      <c r="G39" s="1152"/>
      <c r="H39" s="982" t="s">
        <v>220</v>
      </c>
      <c r="I39" s="1670"/>
      <c r="J39" s="1633"/>
      <c r="K39" s="963" t="s">
        <v>688</v>
      </c>
      <c r="L39" s="946"/>
      <c r="M39" s="970">
        <f>(209.1)/0.929</f>
        <v>225.08073196986004</v>
      </c>
      <c r="N39" s="970">
        <f t="shared" ref="N39:R39" si="29">(209.1)/0.929</f>
        <v>225.08073196986004</v>
      </c>
      <c r="O39" s="970">
        <f>(209.1)/0.929</f>
        <v>225.08073196986004</v>
      </c>
      <c r="P39" s="970">
        <f t="shared" si="29"/>
        <v>225.08073196986004</v>
      </c>
      <c r="Q39" s="970">
        <f t="shared" si="29"/>
        <v>225.08073196986004</v>
      </c>
      <c r="R39" s="970">
        <f t="shared" si="29"/>
        <v>225.08073196986004</v>
      </c>
      <c r="S39" s="970">
        <f t="shared" ref="S39" si="30">(32*20.5)/0.929</f>
        <v>706.13562970936482</v>
      </c>
      <c r="T39" s="970">
        <f>(209.1)/0.929</f>
        <v>225.08073196986004</v>
      </c>
      <c r="U39" s="970"/>
      <c r="V39" s="970">
        <f>(209.1)/0.929</f>
        <v>225.08073196986004</v>
      </c>
      <c r="W39" s="970">
        <f>(209.1)/0.929</f>
        <v>225.08073196986004</v>
      </c>
      <c r="X39" s="990">
        <f>(209.1)/0.929</f>
        <v>225.08073196986004</v>
      </c>
    </row>
    <row r="40" spans="3:24" ht="20.100000000000001" hidden="1" customHeight="1">
      <c r="C40" s="899"/>
      <c r="D40" s="1154">
        <v>1</v>
      </c>
      <c r="E40" s="924" t="s">
        <v>100</v>
      </c>
      <c r="F40" s="900" t="s">
        <v>51</v>
      </c>
      <c r="G40" s="1153"/>
      <c r="H40" s="983" t="s">
        <v>220</v>
      </c>
      <c r="I40" s="1630"/>
      <c r="J40" s="1634"/>
      <c r="K40" s="926" t="s">
        <v>569</v>
      </c>
      <c r="L40" s="902">
        <f t="shared" si="26"/>
        <v>259151.77610333689</v>
      </c>
      <c r="M40" s="927">
        <f>(M38*M39)</f>
        <v>14405.166846071043</v>
      </c>
      <c r="N40" s="903">
        <f t="shared" ref="N40:X40" si="31">(N38*N39)</f>
        <v>32411.625403659848</v>
      </c>
      <c r="O40" s="903">
        <f t="shared" si="31"/>
        <v>0</v>
      </c>
      <c r="P40" s="903">
        <f t="shared" si="31"/>
        <v>10803.875134553282</v>
      </c>
      <c r="Q40" s="903">
        <f t="shared" si="31"/>
        <v>14405.166846071043</v>
      </c>
      <c r="R40" s="903">
        <f t="shared" si="31"/>
        <v>18006.458557588805</v>
      </c>
      <c r="S40" s="903">
        <f t="shared" si="31"/>
        <v>79087.190527448867</v>
      </c>
      <c r="T40" s="903">
        <f t="shared" si="31"/>
        <v>21607.750269106564</v>
      </c>
      <c r="U40" s="903">
        <f t="shared" si="31"/>
        <v>0</v>
      </c>
      <c r="V40" s="903">
        <f t="shared" si="31"/>
        <v>21607.750269106564</v>
      </c>
      <c r="W40" s="903">
        <f t="shared" si="31"/>
        <v>25209.041980624323</v>
      </c>
      <c r="X40" s="904">
        <f t="shared" si="31"/>
        <v>21607.750269106564</v>
      </c>
    </row>
    <row r="41" spans="3:24" ht="20.100000000000001" customHeight="1">
      <c r="C41" s="899"/>
      <c r="D41" s="1154">
        <v>2</v>
      </c>
      <c r="E41" s="924" t="s">
        <v>100</v>
      </c>
      <c r="F41" s="900" t="s">
        <v>51</v>
      </c>
      <c r="G41" s="1153">
        <v>0.08</v>
      </c>
      <c r="H41" s="1571" t="s">
        <v>222</v>
      </c>
      <c r="I41" s="1669">
        <f>(I35*G41)</f>
        <v>16</v>
      </c>
      <c r="J41" s="1664">
        <f>AVERAGE(M42:X42)</f>
        <v>1050</v>
      </c>
      <c r="K41" s="926" t="s">
        <v>682</v>
      </c>
      <c r="L41" s="905">
        <f t="shared" si="26"/>
        <v>1024</v>
      </c>
      <c r="M41" s="928">
        <f>(M35*$G41)</f>
        <v>64</v>
      </c>
      <c r="N41" s="907">
        <f t="shared" ref="N41:X41" si="32">(N35*$G41)</f>
        <v>144</v>
      </c>
      <c r="O41" s="907">
        <f t="shared" si="32"/>
        <v>0</v>
      </c>
      <c r="P41" s="907">
        <f t="shared" si="32"/>
        <v>48</v>
      </c>
      <c r="Q41" s="907">
        <f t="shared" si="32"/>
        <v>64</v>
      </c>
      <c r="R41" s="907">
        <f>(R35*$G41)</f>
        <v>80</v>
      </c>
      <c r="S41" s="907">
        <f t="shared" si="32"/>
        <v>112</v>
      </c>
      <c r="T41" s="907">
        <f t="shared" si="32"/>
        <v>96</v>
      </c>
      <c r="U41" s="907">
        <f t="shared" si="32"/>
        <v>112</v>
      </c>
      <c r="V41" s="907">
        <f t="shared" si="32"/>
        <v>96</v>
      </c>
      <c r="W41" s="907">
        <f t="shared" si="32"/>
        <v>112</v>
      </c>
      <c r="X41" s="908">
        <f t="shared" si="32"/>
        <v>96</v>
      </c>
    </row>
    <row r="42" spans="3:24" ht="20.100000000000001" hidden="1" customHeight="1">
      <c r="C42" s="899"/>
      <c r="D42" s="1154">
        <v>2</v>
      </c>
      <c r="E42" s="924" t="s">
        <v>100</v>
      </c>
      <c r="F42" s="900" t="s">
        <v>51</v>
      </c>
      <c r="G42" s="1153"/>
      <c r="H42" s="983" t="s">
        <v>222</v>
      </c>
      <c r="I42" s="1670"/>
      <c r="J42" s="1633"/>
      <c r="K42" s="926" t="s">
        <v>688</v>
      </c>
      <c r="L42" s="905"/>
      <c r="M42" s="970">
        <f t="shared" ref="M42:R42" si="33">(1013.25)/0.965</f>
        <v>1050</v>
      </c>
      <c r="N42" s="970">
        <f t="shared" si="33"/>
        <v>1050</v>
      </c>
      <c r="O42" s="970">
        <f t="shared" si="33"/>
        <v>1050</v>
      </c>
      <c r="P42" s="970">
        <f t="shared" si="33"/>
        <v>1050</v>
      </c>
      <c r="Q42" s="970">
        <f t="shared" si="33"/>
        <v>1050</v>
      </c>
      <c r="R42" s="970">
        <f t="shared" si="33"/>
        <v>1050</v>
      </c>
      <c r="S42" s="970">
        <f>(1013.25)/0.965</f>
        <v>1050</v>
      </c>
      <c r="T42" s="970">
        <f>(1013.25)/0.965</f>
        <v>1050</v>
      </c>
      <c r="U42" s="970"/>
      <c r="V42" s="970">
        <f>(1013.25)/0.965</f>
        <v>1050</v>
      </c>
      <c r="W42" s="970">
        <f>(1013.25)/0.965</f>
        <v>1050</v>
      </c>
      <c r="X42" s="990">
        <f>(1013.25)/0.965</f>
        <v>1050</v>
      </c>
    </row>
    <row r="43" spans="3:24" ht="20.100000000000001" hidden="1" customHeight="1">
      <c r="C43" s="899"/>
      <c r="D43" s="1154">
        <v>2</v>
      </c>
      <c r="E43" s="924" t="s">
        <v>100</v>
      </c>
      <c r="F43" s="900" t="s">
        <v>51</v>
      </c>
      <c r="G43" s="1153"/>
      <c r="H43" s="983" t="s">
        <v>222</v>
      </c>
      <c r="I43" s="1630"/>
      <c r="J43" s="1634"/>
      <c r="K43" s="926" t="s">
        <v>569</v>
      </c>
      <c r="L43" s="902">
        <f t="shared" si="26"/>
        <v>957600</v>
      </c>
      <c r="M43" s="927">
        <f t="shared" ref="M43:X43" si="34">(M41*M42)</f>
        <v>67200</v>
      </c>
      <c r="N43" s="903">
        <f t="shared" si="34"/>
        <v>151200</v>
      </c>
      <c r="O43" s="903">
        <f t="shared" si="34"/>
        <v>0</v>
      </c>
      <c r="P43" s="903">
        <f t="shared" si="34"/>
        <v>50400</v>
      </c>
      <c r="Q43" s="903">
        <f t="shared" si="34"/>
        <v>67200</v>
      </c>
      <c r="R43" s="903">
        <f t="shared" si="34"/>
        <v>84000</v>
      </c>
      <c r="S43" s="903">
        <f t="shared" si="34"/>
        <v>117600</v>
      </c>
      <c r="T43" s="903">
        <f t="shared" si="34"/>
        <v>100800</v>
      </c>
      <c r="U43" s="903">
        <f t="shared" si="34"/>
        <v>0</v>
      </c>
      <c r="V43" s="903">
        <f t="shared" si="34"/>
        <v>100800</v>
      </c>
      <c r="W43" s="903">
        <f t="shared" si="34"/>
        <v>117600</v>
      </c>
      <c r="X43" s="904">
        <f t="shared" si="34"/>
        <v>100800</v>
      </c>
    </row>
    <row r="44" spans="3:24" ht="20.100000000000001" customHeight="1">
      <c r="C44" s="899"/>
      <c r="D44" s="1154">
        <v>3</v>
      </c>
      <c r="E44" s="924" t="s">
        <v>100</v>
      </c>
      <c r="F44" s="900" t="s">
        <v>51</v>
      </c>
      <c r="G44" s="1153">
        <v>0.18</v>
      </c>
      <c r="H44" s="1570" t="s">
        <v>507</v>
      </c>
      <c r="I44" s="1669">
        <f>(I35*G44)</f>
        <v>36</v>
      </c>
      <c r="J44" s="1664">
        <f>AVERAGE(M45:X45)</f>
        <v>83.977075303526561</v>
      </c>
      <c r="K44" s="901" t="s">
        <v>682</v>
      </c>
      <c r="L44" s="905">
        <f>SUM(M44:X44)</f>
        <v>2304</v>
      </c>
      <c r="M44" s="906">
        <f>(M35*$G44)</f>
        <v>144</v>
      </c>
      <c r="N44" s="907">
        <f t="shared" ref="N44:X44" si="35">(N35*$G44)</f>
        <v>324</v>
      </c>
      <c r="O44" s="907">
        <f t="shared" si="35"/>
        <v>0</v>
      </c>
      <c r="P44" s="907">
        <f t="shared" si="35"/>
        <v>108</v>
      </c>
      <c r="Q44" s="907">
        <f t="shared" si="35"/>
        <v>144</v>
      </c>
      <c r="R44" s="907">
        <f t="shared" si="35"/>
        <v>180</v>
      </c>
      <c r="S44" s="907">
        <f t="shared" si="35"/>
        <v>252</v>
      </c>
      <c r="T44" s="907">
        <f t="shared" si="35"/>
        <v>216</v>
      </c>
      <c r="U44" s="907">
        <f t="shared" si="35"/>
        <v>252</v>
      </c>
      <c r="V44" s="907">
        <f t="shared" si="35"/>
        <v>216</v>
      </c>
      <c r="W44" s="907">
        <f t="shared" si="35"/>
        <v>252</v>
      </c>
      <c r="X44" s="908">
        <f t="shared" si="35"/>
        <v>216</v>
      </c>
    </row>
    <row r="45" spans="3:24" ht="20.100000000000001" hidden="1" customHeight="1">
      <c r="C45" s="899"/>
      <c r="D45" s="1154">
        <v>3</v>
      </c>
      <c r="E45" s="924" t="s">
        <v>100</v>
      </c>
      <c r="F45" s="900" t="s">
        <v>51</v>
      </c>
      <c r="G45" s="1153"/>
      <c r="H45" s="984" t="s">
        <v>507</v>
      </c>
      <c r="I45" s="1670"/>
      <c r="J45" s="1633"/>
      <c r="K45" s="951" t="s">
        <v>688</v>
      </c>
      <c r="L45" s="905"/>
      <c r="M45" s="970">
        <f>(4*19.0171454545455)/0.849</f>
        <v>89.597858443088342</v>
      </c>
      <c r="N45" s="970">
        <f>(4*18.6221947368421)/0.849</f>
        <v>87.737077676523441</v>
      </c>
      <c r="O45" s="970">
        <f>(4*18.3886909090909)/0.849</f>
        <v>86.636941856729806</v>
      </c>
      <c r="P45" s="970">
        <f>(4*18.0879388888889)/0.849</f>
        <v>85.21997120795713</v>
      </c>
      <c r="Q45" s="970"/>
      <c r="R45" s="970">
        <f>(4*17.26875)/0.849</f>
        <v>81.360424028268554</v>
      </c>
      <c r="S45" s="970">
        <f>(4*16.9242476190476)/0.849</f>
        <v>79.737326827079386</v>
      </c>
      <c r="T45" s="970">
        <f>(4*16.9685260869565)/0.849</f>
        <v>79.945941516873972</v>
      </c>
      <c r="U45" s="970"/>
      <c r="V45" s="970">
        <f>(4*18.0539636363636)/0.849</f>
        <v>85.059899346824977</v>
      </c>
      <c r="W45" s="970">
        <f>(4*17.409885)/0.849</f>
        <v>82.02537102473498</v>
      </c>
      <c r="X45" s="990">
        <f>(4*17.5)/0.849</f>
        <v>82.449941107184927</v>
      </c>
    </row>
    <row r="46" spans="3:24" ht="20.100000000000001" hidden="1" customHeight="1">
      <c r="C46" s="899"/>
      <c r="D46" s="1154">
        <v>3</v>
      </c>
      <c r="E46" s="924" t="s">
        <v>100</v>
      </c>
      <c r="F46" s="900" t="s">
        <v>51</v>
      </c>
      <c r="G46" s="1153"/>
      <c r="H46" s="984" t="s">
        <v>507</v>
      </c>
      <c r="I46" s="1630"/>
      <c r="J46" s="1634"/>
      <c r="K46" s="901" t="s">
        <v>569</v>
      </c>
      <c r="L46" s="902">
        <f>SUM(M46:X46)</f>
        <v>159392.18676291415</v>
      </c>
      <c r="M46" s="927">
        <f>(M44*M45)</f>
        <v>12902.091615804722</v>
      </c>
      <c r="N46" s="903">
        <f>(N44*N45)</f>
        <v>28426.813167193595</v>
      </c>
      <c r="O46" s="903">
        <f t="shared" ref="O46:W46" si="36">(O44*O45)</f>
        <v>0</v>
      </c>
      <c r="P46" s="903">
        <f t="shared" si="36"/>
        <v>9203.75689045937</v>
      </c>
      <c r="Q46" s="903">
        <f t="shared" si="36"/>
        <v>0</v>
      </c>
      <c r="R46" s="903">
        <f>(R44*R45)</f>
        <v>14644.87632508834</v>
      </c>
      <c r="S46" s="903">
        <f t="shared" si="36"/>
        <v>20093.806360424005</v>
      </c>
      <c r="T46" s="903">
        <f t="shared" si="36"/>
        <v>17268.323367644778</v>
      </c>
      <c r="U46" s="903">
        <f t="shared" si="36"/>
        <v>0</v>
      </c>
      <c r="V46" s="903">
        <f t="shared" si="36"/>
        <v>18372.938258914197</v>
      </c>
      <c r="W46" s="903">
        <f t="shared" si="36"/>
        <v>20670.393498233214</v>
      </c>
      <c r="X46" s="904">
        <f>(X44*X45)</f>
        <v>17809.187279151945</v>
      </c>
    </row>
    <row r="47" spans="3:24" ht="20.100000000000001" customHeight="1">
      <c r="C47" s="899"/>
      <c r="D47" s="1154">
        <v>4</v>
      </c>
      <c r="E47" s="924" t="s">
        <v>100</v>
      </c>
      <c r="F47" s="900" t="s">
        <v>51</v>
      </c>
      <c r="G47" s="1153">
        <v>0.25</v>
      </c>
      <c r="H47" s="1570" t="s">
        <v>211</v>
      </c>
      <c r="I47" s="1669">
        <f>(I35*G47)</f>
        <v>50</v>
      </c>
      <c r="J47" s="1664">
        <f>AVERAGE(M48:X48)</f>
        <v>80.570000000000007</v>
      </c>
      <c r="K47" s="926" t="s">
        <v>682</v>
      </c>
      <c r="L47" s="905">
        <f t="shared" si="26"/>
        <v>3200</v>
      </c>
      <c r="M47" s="928">
        <f>(M35*$G47)</f>
        <v>200</v>
      </c>
      <c r="N47" s="907">
        <f t="shared" ref="N47:X47" si="37">(N35*$G47)</f>
        <v>450</v>
      </c>
      <c r="O47" s="907">
        <f t="shared" si="37"/>
        <v>0</v>
      </c>
      <c r="P47" s="907">
        <f t="shared" si="37"/>
        <v>150</v>
      </c>
      <c r="Q47" s="907">
        <f t="shared" si="37"/>
        <v>200</v>
      </c>
      <c r="R47" s="907">
        <f t="shared" si="37"/>
        <v>250</v>
      </c>
      <c r="S47" s="907">
        <f t="shared" si="37"/>
        <v>350</v>
      </c>
      <c r="T47" s="907">
        <f t="shared" si="37"/>
        <v>300</v>
      </c>
      <c r="U47" s="907">
        <f t="shared" si="37"/>
        <v>350</v>
      </c>
      <c r="V47" s="907">
        <f t="shared" si="37"/>
        <v>300</v>
      </c>
      <c r="W47" s="907">
        <f t="shared" si="37"/>
        <v>350</v>
      </c>
      <c r="X47" s="908">
        <f t="shared" si="37"/>
        <v>300</v>
      </c>
    </row>
    <row r="48" spans="3:24" ht="20.100000000000001" hidden="1" customHeight="1">
      <c r="C48" s="899"/>
      <c r="D48" s="1154">
        <v>4</v>
      </c>
      <c r="E48" s="924" t="s">
        <v>100</v>
      </c>
      <c r="F48" s="900" t="s">
        <v>51</v>
      </c>
      <c r="G48" s="1153"/>
      <c r="H48" s="984" t="s">
        <v>211</v>
      </c>
      <c r="I48" s="1670"/>
      <c r="J48" s="1633"/>
      <c r="K48" s="926" t="s">
        <v>688</v>
      </c>
      <c r="L48" s="905"/>
      <c r="M48" s="970">
        <v>83</v>
      </c>
      <c r="N48" s="970">
        <v>83</v>
      </c>
      <c r="O48" s="970">
        <v>83</v>
      </c>
      <c r="P48" s="970">
        <v>83</v>
      </c>
      <c r="Q48" s="970"/>
      <c r="R48" s="970">
        <v>83</v>
      </c>
      <c r="S48" s="970">
        <v>83</v>
      </c>
      <c r="T48" s="970">
        <v>83</v>
      </c>
      <c r="U48" s="970"/>
      <c r="V48" s="970">
        <v>75.599999999999994</v>
      </c>
      <c r="W48" s="970">
        <v>75.599999999999994</v>
      </c>
      <c r="X48" s="990">
        <v>73.5</v>
      </c>
    </row>
    <row r="49" spans="3:24" ht="20.100000000000001" hidden="1" customHeight="1">
      <c r="C49" s="899"/>
      <c r="D49" s="1154">
        <v>4</v>
      </c>
      <c r="E49" s="924" t="s">
        <v>100</v>
      </c>
      <c r="F49" s="900" t="s">
        <v>51</v>
      </c>
      <c r="G49" s="1153"/>
      <c r="H49" s="984" t="s">
        <v>211</v>
      </c>
      <c r="I49" s="1630"/>
      <c r="J49" s="1634"/>
      <c r="K49" s="926" t="s">
        <v>569</v>
      </c>
      <c r="L49" s="902">
        <f t="shared" si="26"/>
        <v>212290</v>
      </c>
      <c r="M49" s="927">
        <f>(M47*M48)</f>
        <v>16600</v>
      </c>
      <c r="N49" s="903">
        <f t="shared" ref="N49:W49" si="38">(N47*N48)</f>
        <v>37350</v>
      </c>
      <c r="O49" s="903">
        <f>(O47*O48)</f>
        <v>0</v>
      </c>
      <c r="P49" s="903">
        <f>(P47*P48)</f>
        <v>12450</v>
      </c>
      <c r="Q49" s="903">
        <f t="shared" si="38"/>
        <v>0</v>
      </c>
      <c r="R49" s="903">
        <f>(R47*R48)</f>
        <v>20750</v>
      </c>
      <c r="S49" s="903">
        <f>(S47*S48)</f>
        <v>29050</v>
      </c>
      <c r="T49" s="903">
        <f>(T47*T48)</f>
        <v>24900</v>
      </c>
      <c r="U49" s="903">
        <f t="shared" si="38"/>
        <v>0</v>
      </c>
      <c r="V49" s="903">
        <f t="shared" si="38"/>
        <v>22680</v>
      </c>
      <c r="W49" s="903">
        <f t="shared" si="38"/>
        <v>26459.999999999996</v>
      </c>
      <c r="X49" s="904">
        <f>(X47*X48)</f>
        <v>22050</v>
      </c>
    </row>
    <row r="50" spans="3:24" ht="20.100000000000001" customHeight="1" thickBot="1">
      <c r="C50" s="885"/>
      <c r="D50" s="1155">
        <v>5</v>
      </c>
      <c r="E50" s="1155" t="s">
        <v>100</v>
      </c>
      <c r="F50" s="887" t="s">
        <v>51</v>
      </c>
      <c r="G50" s="1236">
        <v>0.41</v>
      </c>
      <c r="H50" s="986" t="s">
        <v>204</v>
      </c>
      <c r="I50" s="1237">
        <f>I35-(I38+I41+I44+I47)</f>
        <v>82</v>
      </c>
      <c r="J50" s="1242"/>
      <c r="K50" s="937" t="s">
        <v>682</v>
      </c>
      <c r="L50" s="1238">
        <f t="shared" si="26"/>
        <v>5248</v>
      </c>
      <c r="M50" s="1239">
        <f>(M35*$G50)</f>
        <v>328</v>
      </c>
      <c r="N50" s="1240">
        <f t="shared" ref="N50:X50" si="39">(N35*$G50)</f>
        <v>738</v>
      </c>
      <c r="O50" s="1240">
        <f t="shared" si="39"/>
        <v>0</v>
      </c>
      <c r="P50" s="1240">
        <f t="shared" si="39"/>
        <v>245.99999999999997</v>
      </c>
      <c r="Q50" s="1240">
        <f t="shared" si="39"/>
        <v>328</v>
      </c>
      <c r="R50" s="1240">
        <f t="shared" si="39"/>
        <v>410</v>
      </c>
      <c r="S50" s="1240">
        <f t="shared" si="39"/>
        <v>574</v>
      </c>
      <c r="T50" s="1240">
        <f t="shared" si="39"/>
        <v>491.99999999999994</v>
      </c>
      <c r="U50" s="1240">
        <f t="shared" si="39"/>
        <v>574</v>
      </c>
      <c r="V50" s="1240">
        <f t="shared" si="39"/>
        <v>491.99999999999994</v>
      </c>
      <c r="W50" s="1240">
        <f t="shared" si="39"/>
        <v>574</v>
      </c>
      <c r="X50" s="1241">
        <f t="shared" si="39"/>
        <v>491.99999999999994</v>
      </c>
    </row>
    <row r="51" spans="3:24" ht="20.100000000000001" hidden="1" customHeight="1" collapsed="1">
      <c r="C51" s="878">
        <v>3</v>
      </c>
      <c r="D51" s="879">
        <v>0</v>
      </c>
      <c r="E51" s="879" t="s">
        <v>242</v>
      </c>
      <c r="F51" s="880" t="s">
        <v>641</v>
      </c>
      <c r="G51" s="1617"/>
      <c r="H51" s="1617"/>
      <c r="I51" s="1619">
        <v>200</v>
      </c>
      <c r="J51" s="1621" t="e">
        <f>AVERAGE(M52:X52)</f>
        <v>#DIV/0!</v>
      </c>
      <c r="K51" s="881" t="s">
        <v>682</v>
      </c>
      <c r="L51" s="882">
        <f>SUM(M51:X51)</f>
        <v>4000</v>
      </c>
      <c r="M51" s="987"/>
      <c r="N51" s="883"/>
      <c r="O51" s="883"/>
      <c r="P51" s="883">
        <v>4000</v>
      </c>
      <c r="Q51" s="883"/>
      <c r="R51" s="883"/>
      <c r="S51" s="883"/>
      <c r="T51" s="883"/>
      <c r="U51" s="883"/>
      <c r="V51" s="883"/>
      <c r="W51" s="883"/>
      <c r="X51" s="884"/>
    </row>
    <row r="52" spans="3:24" ht="20.100000000000001" hidden="1" customHeight="1">
      <c r="C52" s="948"/>
      <c r="D52" s="956">
        <v>0</v>
      </c>
      <c r="E52" s="956" t="s">
        <v>242</v>
      </c>
      <c r="F52" s="950" t="s">
        <v>641</v>
      </c>
      <c r="G52" s="1617"/>
      <c r="H52" s="1617"/>
      <c r="I52" s="1619"/>
      <c r="J52" s="1621"/>
      <c r="K52" s="951" t="s">
        <v>688</v>
      </c>
      <c r="L52" s="952"/>
      <c r="M52" s="970"/>
      <c r="N52" s="970" t="e">
        <f t="shared" ref="N52:Q52" si="40">(N53/N51)</f>
        <v>#DIV/0!</v>
      </c>
      <c r="O52" s="970" t="e">
        <f t="shared" si="40"/>
        <v>#DIV/0!</v>
      </c>
      <c r="P52" s="970"/>
      <c r="Q52" s="970" t="e">
        <f t="shared" si="40"/>
        <v>#DIV/0!</v>
      </c>
      <c r="R52" s="970" t="e">
        <f>(R53/R51)</f>
        <v>#DIV/0!</v>
      </c>
      <c r="S52" s="970"/>
      <c r="T52" s="970"/>
      <c r="U52" s="1439" t="e">
        <f>(U53/U51)</f>
        <v>#DIV/0!</v>
      </c>
      <c r="V52" s="970" t="e">
        <f t="shared" ref="V52" si="41">(V53/V51)</f>
        <v>#DIV/0!</v>
      </c>
      <c r="W52" s="970"/>
      <c r="X52" s="976"/>
    </row>
    <row r="53" spans="3:24" ht="20.100000000000001" hidden="1" customHeight="1" thickBot="1">
      <c r="C53" s="885"/>
      <c r="D53" s="886">
        <v>0</v>
      </c>
      <c r="E53" s="886" t="s">
        <v>242</v>
      </c>
      <c r="F53" s="887" t="s">
        <v>641</v>
      </c>
      <c r="G53" s="1618"/>
      <c r="H53" s="1618"/>
      <c r="I53" s="1620"/>
      <c r="J53" s="1622"/>
      <c r="K53" s="888" t="s">
        <v>569</v>
      </c>
      <c r="L53" s="889">
        <f>SUM(M53:X53)</f>
        <v>0</v>
      </c>
      <c r="M53" s="919">
        <f>SUM(M56+M59+M62+M65+M68)</f>
        <v>0</v>
      </c>
      <c r="N53" s="974">
        <f t="shared" ref="N53:X53" si="42">SUM(N56+N59+N62+N65+N68)</f>
        <v>0</v>
      </c>
      <c r="O53" s="974">
        <f t="shared" si="42"/>
        <v>0</v>
      </c>
      <c r="P53" s="974">
        <f t="shared" si="42"/>
        <v>0</v>
      </c>
      <c r="Q53" s="974">
        <f t="shared" si="42"/>
        <v>0</v>
      </c>
      <c r="R53" s="974">
        <f>SUM(R56+R59+R62+R65+R68)</f>
        <v>0</v>
      </c>
      <c r="S53" s="974">
        <f t="shared" si="42"/>
        <v>0</v>
      </c>
      <c r="T53" s="974">
        <f t="shared" si="42"/>
        <v>0</v>
      </c>
      <c r="U53" s="974">
        <f>SUM(U56+U59+U62+U65+U68)</f>
        <v>0</v>
      </c>
      <c r="V53" s="974">
        <f t="shared" si="42"/>
        <v>0</v>
      </c>
      <c r="W53" s="974">
        <f t="shared" si="42"/>
        <v>0</v>
      </c>
      <c r="X53" s="975">
        <f t="shared" si="42"/>
        <v>0</v>
      </c>
    </row>
    <row r="54" spans="3:24" ht="20.100000000000001" hidden="1" customHeight="1">
      <c r="C54" s="890"/>
      <c r="D54" s="891">
        <v>1</v>
      </c>
      <c r="E54" s="891" t="s">
        <v>100</v>
      </c>
      <c r="F54" s="892" t="s">
        <v>641</v>
      </c>
      <c r="G54" s="921">
        <v>0.125</v>
      </c>
      <c r="H54" s="893" t="s">
        <v>269</v>
      </c>
      <c r="I54" s="1672">
        <f>(I51*G54)</f>
        <v>25</v>
      </c>
      <c r="J54" s="1632">
        <f>AVERAGE(M55:X55)</f>
        <v>6.04</v>
      </c>
      <c r="K54" s="922" t="s">
        <v>682</v>
      </c>
      <c r="L54" s="939">
        <f>SUM(M54:X54)</f>
        <v>500</v>
      </c>
      <c r="M54" s="940">
        <f t="shared" ref="M54:X54" si="43">(M51*$G54)</f>
        <v>0</v>
      </c>
      <c r="N54" s="941">
        <f>(N51*$G54)</f>
        <v>0</v>
      </c>
      <c r="O54" s="941">
        <f>(O51*$G54)</f>
        <v>0</v>
      </c>
      <c r="P54" s="941">
        <f t="shared" si="43"/>
        <v>500</v>
      </c>
      <c r="Q54" s="941">
        <f t="shared" si="43"/>
        <v>0</v>
      </c>
      <c r="R54" s="941">
        <f t="shared" si="43"/>
        <v>0</v>
      </c>
      <c r="S54" s="941">
        <f t="shared" si="43"/>
        <v>0</v>
      </c>
      <c r="T54" s="941">
        <f t="shared" si="43"/>
        <v>0</v>
      </c>
      <c r="U54" s="941">
        <f t="shared" si="43"/>
        <v>0</v>
      </c>
      <c r="V54" s="941">
        <f t="shared" si="43"/>
        <v>0</v>
      </c>
      <c r="W54" s="941">
        <f t="shared" si="43"/>
        <v>0</v>
      </c>
      <c r="X54" s="942">
        <f t="shared" si="43"/>
        <v>0</v>
      </c>
    </row>
    <row r="55" spans="3:24" ht="20.100000000000001" hidden="1" customHeight="1">
      <c r="C55" s="878"/>
      <c r="D55" s="879">
        <v>1</v>
      </c>
      <c r="E55" s="879" t="s">
        <v>100</v>
      </c>
      <c r="F55" s="880" t="s">
        <v>641</v>
      </c>
      <c r="G55" s="962"/>
      <c r="H55" s="945" t="s">
        <v>269</v>
      </c>
      <c r="I55" s="1663"/>
      <c r="J55" s="1633"/>
      <c r="K55" s="963" t="s">
        <v>688</v>
      </c>
      <c r="L55" s="939"/>
      <c r="M55" s="970"/>
      <c r="N55" s="970"/>
      <c r="O55" s="970"/>
      <c r="P55" s="970"/>
      <c r="Q55" s="970"/>
      <c r="R55" s="970">
        <f>151/25</f>
        <v>6.04</v>
      </c>
      <c r="S55" s="970"/>
      <c r="T55" s="970"/>
      <c r="U55" s="970"/>
      <c r="V55" s="970"/>
      <c r="W55" s="970"/>
      <c r="X55" s="970"/>
    </row>
    <row r="56" spans="3:24" ht="20.100000000000001" hidden="1" customHeight="1">
      <c r="C56" s="899"/>
      <c r="D56" s="103">
        <v>1</v>
      </c>
      <c r="E56" s="103" t="s">
        <v>100</v>
      </c>
      <c r="F56" s="900" t="s">
        <v>641</v>
      </c>
      <c r="G56" s="925"/>
      <c r="H56" s="672" t="s">
        <v>269</v>
      </c>
      <c r="I56" s="1643"/>
      <c r="J56" s="1634"/>
      <c r="K56" s="926" t="s">
        <v>569</v>
      </c>
      <c r="L56" s="902">
        <f>SUM(M56:X56)</f>
        <v>0</v>
      </c>
      <c r="M56" s="927">
        <f>(M54*M55)</f>
        <v>0</v>
      </c>
      <c r="N56" s="903">
        <f t="shared" ref="N56:R56" si="44">(N54*N55)</f>
        <v>0</v>
      </c>
      <c r="O56" s="903">
        <f t="shared" si="44"/>
        <v>0</v>
      </c>
      <c r="P56" s="903">
        <f t="shared" si="44"/>
        <v>0</v>
      </c>
      <c r="Q56" s="903">
        <f t="shared" si="44"/>
        <v>0</v>
      </c>
      <c r="R56" s="903">
        <f t="shared" si="44"/>
        <v>0</v>
      </c>
      <c r="S56" s="903">
        <f t="shared" ref="S56:X56" si="45">(S54*S55)</f>
        <v>0</v>
      </c>
      <c r="T56" s="903">
        <f t="shared" si="45"/>
        <v>0</v>
      </c>
      <c r="U56" s="903">
        <f t="shared" si="45"/>
        <v>0</v>
      </c>
      <c r="V56" s="903">
        <f t="shared" si="45"/>
        <v>0</v>
      </c>
      <c r="W56" s="903">
        <f t="shared" si="45"/>
        <v>0</v>
      </c>
      <c r="X56" s="904">
        <f t="shared" si="45"/>
        <v>0</v>
      </c>
    </row>
    <row r="57" spans="3:24" ht="20.100000000000001" hidden="1" customHeight="1">
      <c r="C57" s="899"/>
      <c r="D57" s="103">
        <v>2</v>
      </c>
      <c r="E57" s="103" t="s">
        <v>100</v>
      </c>
      <c r="F57" s="900" t="s">
        <v>641</v>
      </c>
      <c r="G57" s="925">
        <v>0.05</v>
      </c>
      <c r="H57" s="672" t="s">
        <v>270</v>
      </c>
      <c r="I57" s="1662">
        <f>(I51*G57)</f>
        <v>10</v>
      </c>
      <c r="J57" s="1659">
        <f>AVERAGE(M58:X58)</f>
        <v>285</v>
      </c>
      <c r="K57" s="926" t="s">
        <v>682</v>
      </c>
      <c r="L57" s="933">
        <f>SUM(M57:X57)</f>
        <v>200</v>
      </c>
      <c r="M57" s="934">
        <f t="shared" ref="M57:X57" si="46">(M51*$G57)</f>
        <v>0</v>
      </c>
      <c r="N57" s="935">
        <f>(N51*$G57)</f>
        <v>0</v>
      </c>
      <c r="O57" s="935">
        <f t="shared" si="46"/>
        <v>0</v>
      </c>
      <c r="P57" s="935">
        <f t="shared" si="46"/>
        <v>200</v>
      </c>
      <c r="Q57" s="935">
        <f t="shared" si="46"/>
        <v>0</v>
      </c>
      <c r="R57" s="935">
        <f t="shared" si="46"/>
        <v>0</v>
      </c>
      <c r="S57" s="935">
        <f t="shared" si="46"/>
        <v>0</v>
      </c>
      <c r="T57" s="935">
        <f t="shared" si="46"/>
        <v>0</v>
      </c>
      <c r="U57" s="935">
        <f t="shared" si="46"/>
        <v>0</v>
      </c>
      <c r="V57" s="935">
        <f t="shared" si="46"/>
        <v>0</v>
      </c>
      <c r="W57" s="935">
        <f t="shared" si="46"/>
        <v>0</v>
      </c>
      <c r="X57" s="936">
        <f t="shared" si="46"/>
        <v>0</v>
      </c>
    </row>
    <row r="58" spans="3:24" ht="20.100000000000001" hidden="1" customHeight="1">
      <c r="C58" s="899"/>
      <c r="D58" s="957">
        <v>2</v>
      </c>
      <c r="E58" s="957" t="s">
        <v>100</v>
      </c>
      <c r="F58" s="900" t="s">
        <v>641</v>
      </c>
      <c r="G58" s="958"/>
      <c r="H58" s="672" t="s">
        <v>270</v>
      </c>
      <c r="I58" s="1663"/>
      <c r="J58" s="1660"/>
      <c r="K58" s="926" t="s">
        <v>688</v>
      </c>
      <c r="L58" s="933"/>
      <c r="M58" s="970"/>
      <c r="N58" s="970"/>
      <c r="O58" s="970"/>
      <c r="P58" s="970"/>
      <c r="Q58" s="970"/>
      <c r="R58" s="970">
        <v>285</v>
      </c>
      <c r="S58" s="970"/>
      <c r="T58" s="970"/>
      <c r="U58" s="970"/>
      <c r="V58" s="970"/>
      <c r="W58" s="970"/>
      <c r="X58" s="970"/>
    </row>
    <row r="59" spans="3:24" ht="20.100000000000001" hidden="1" customHeight="1">
      <c r="C59" s="899"/>
      <c r="D59" s="103">
        <v>2</v>
      </c>
      <c r="E59" s="103" t="s">
        <v>100</v>
      </c>
      <c r="F59" s="900" t="s">
        <v>641</v>
      </c>
      <c r="G59" s="925"/>
      <c r="H59" s="672" t="s">
        <v>270</v>
      </c>
      <c r="I59" s="1643"/>
      <c r="J59" s="1661"/>
      <c r="K59" s="926" t="s">
        <v>569</v>
      </c>
      <c r="L59" s="902">
        <f>SUM(M59:X59)</f>
        <v>0</v>
      </c>
      <c r="M59" s="927">
        <f>(M57*M58)</f>
        <v>0</v>
      </c>
      <c r="N59" s="903">
        <f t="shared" ref="N59:R59" si="47">(N57*N58)</f>
        <v>0</v>
      </c>
      <c r="O59" s="903">
        <f t="shared" si="47"/>
        <v>0</v>
      </c>
      <c r="P59" s="903">
        <f t="shared" si="47"/>
        <v>0</v>
      </c>
      <c r="Q59" s="903">
        <f t="shared" si="47"/>
        <v>0</v>
      </c>
      <c r="R59" s="903">
        <f t="shared" si="47"/>
        <v>0</v>
      </c>
      <c r="S59" s="903">
        <f t="shared" ref="S59:X59" si="48">(S57*S58)</f>
        <v>0</v>
      </c>
      <c r="T59" s="903">
        <f t="shared" si="48"/>
        <v>0</v>
      </c>
      <c r="U59" s="903">
        <f t="shared" si="48"/>
        <v>0</v>
      </c>
      <c r="V59" s="903">
        <f t="shared" si="48"/>
        <v>0</v>
      </c>
      <c r="W59" s="903">
        <f t="shared" si="48"/>
        <v>0</v>
      </c>
      <c r="X59" s="904">
        <f t="shared" si="48"/>
        <v>0</v>
      </c>
    </row>
    <row r="60" spans="3:24" ht="20.100000000000001" hidden="1" customHeight="1">
      <c r="C60" s="899"/>
      <c r="D60" s="103">
        <v>3</v>
      </c>
      <c r="E60" s="103" t="s">
        <v>100</v>
      </c>
      <c r="F60" s="900" t="s">
        <v>641</v>
      </c>
      <c r="G60" s="925">
        <v>4.4999999999999998E-2</v>
      </c>
      <c r="H60" s="672" t="s">
        <v>271</v>
      </c>
      <c r="I60" s="1662">
        <f>(I51*G60)</f>
        <v>9</v>
      </c>
      <c r="J60" s="1659">
        <f>AVERAGE(M61:X61)</f>
        <v>285</v>
      </c>
      <c r="K60" s="926" t="s">
        <v>682</v>
      </c>
      <c r="L60" s="933">
        <f>SUM(M60:X60)</f>
        <v>180</v>
      </c>
      <c r="M60" s="934">
        <f t="shared" ref="M60:X60" si="49">(M51*$G60)</f>
        <v>0</v>
      </c>
      <c r="N60" s="935">
        <f t="shared" si="49"/>
        <v>0</v>
      </c>
      <c r="O60" s="935">
        <f t="shared" si="49"/>
        <v>0</v>
      </c>
      <c r="P60" s="935">
        <f t="shared" si="49"/>
        <v>180</v>
      </c>
      <c r="Q60" s="935">
        <f t="shared" si="49"/>
        <v>0</v>
      </c>
      <c r="R60" s="935">
        <f t="shared" si="49"/>
        <v>0</v>
      </c>
      <c r="S60" s="935">
        <f t="shared" si="49"/>
        <v>0</v>
      </c>
      <c r="T60" s="935">
        <f t="shared" si="49"/>
        <v>0</v>
      </c>
      <c r="U60" s="935">
        <f t="shared" si="49"/>
        <v>0</v>
      </c>
      <c r="V60" s="935">
        <f t="shared" si="49"/>
        <v>0</v>
      </c>
      <c r="W60" s="935">
        <f t="shared" si="49"/>
        <v>0</v>
      </c>
      <c r="X60" s="936">
        <f t="shared" si="49"/>
        <v>0</v>
      </c>
    </row>
    <row r="61" spans="3:24" ht="20.100000000000001" hidden="1" customHeight="1">
      <c r="C61" s="899"/>
      <c r="D61" s="957">
        <v>3</v>
      </c>
      <c r="E61" s="957" t="s">
        <v>100</v>
      </c>
      <c r="F61" s="900" t="s">
        <v>641</v>
      </c>
      <c r="G61" s="958"/>
      <c r="H61" s="672" t="s">
        <v>271</v>
      </c>
      <c r="I61" s="1663"/>
      <c r="J61" s="1660"/>
      <c r="K61" s="926" t="s">
        <v>688</v>
      </c>
      <c r="L61" s="933"/>
      <c r="M61" s="970"/>
      <c r="N61" s="970"/>
      <c r="O61" s="970"/>
      <c r="P61" s="970"/>
      <c r="Q61" s="970"/>
      <c r="R61" s="970">
        <v>285</v>
      </c>
      <c r="S61" s="970"/>
      <c r="T61" s="970"/>
      <c r="U61" s="970"/>
      <c r="V61" s="970"/>
      <c r="W61" s="970"/>
      <c r="X61" s="970"/>
    </row>
    <row r="62" spans="3:24" ht="20.100000000000001" hidden="1" customHeight="1">
      <c r="C62" s="899"/>
      <c r="D62" s="103">
        <v>3</v>
      </c>
      <c r="E62" s="103" t="s">
        <v>100</v>
      </c>
      <c r="F62" s="900" t="s">
        <v>641</v>
      </c>
      <c r="G62" s="925"/>
      <c r="H62" s="672" t="s">
        <v>271</v>
      </c>
      <c r="I62" s="1643"/>
      <c r="J62" s="1661"/>
      <c r="K62" s="926" t="s">
        <v>569</v>
      </c>
      <c r="L62" s="902">
        <f>SUM(M62:X62)</f>
        <v>0</v>
      </c>
      <c r="M62" s="927">
        <f>(M60*M61)</f>
        <v>0</v>
      </c>
      <c r="N62" s="903">
        <f t="shared" ref="N62:R62" si="50">(N60*N61)</f>
        <v>0</v>
      </c>
      <c r="O62" s="903">
        <f t="shared" si="50"/>
        <v>0</v>
      </c>
      <c r="P62" s="903">
        <f t="shared" si="50"/>
        <v>0</v>
      </c>
      <c r="Q62" s="903">
        <f t="shared" si="50"/>
        <v>0</v>
      </c>
      <c r="R62" s="903">
        <f t="shared" si="50"/>
        <v>0</v>
      </c>
      <c r="S62" s="903">
        <f t="shared" ref="S62:X62" si="51">(S60*S61)</f>
        <v>0</v>
      </c>
      <c r="T62" s="903">
        <f t="shared" si="51"/>
        <v>0</v>
      </c>
      <c r="U62" s="903">
        <f t="shared" si="51"/>
        <v>0</v>
      </c>
      <c r="V62" s="903">
        <f t="shared" si="51"/>
        <v>0</v>
      </c>
      <c r="W62" s="903">
        <f t="shared" si="51"/>
        <v>0</v>
      </c>
      <c r="X62" s="904">
        <f t="shared" si="51"/>
        <v>0</v>
      </c>
    </row>
    <row r="63" spans="3:24" ht="20.100000000000001" hidden="1" customHeight="1">
      <c r="C63" s="899"/>
      <c r="D63" s="103">
        <v>4</v>
      </c>
      <c r="E63" s="103" t="s">
        <v>100</v>
      </c>
      <c r="F63" s="900" t="s">
        <v>641</v>
      </c>
      <c r="G63" s="925">
        <v>0.125</v>
      </c>
      <c r="H63" s="672" t="s">
        <v>272</v>
      </c>
      <c r="I63" s="1662">
        <f>(I51*G63)</f>
        <v>25</v>
      </c>
      <c r="J63" s="1659">
        <f>AVERAGE(M64:X64)</f>
        <v>285</v>
      </c>
      <c r="K63" s="926" t="s">
        <v>682</v>
      </c>
      <c r="L63" s="933">
        <f>SUM(M63:X63)</f>
        <v>500</v>
      </c>
      <c r="M63" s="934">
        <f t="shared" ref="M63:X63" si="52">(M51*$G63)</f>
        <v>0</v>
      </c>
      <c r="N63" s="935">
        <f t="shared" si="52"/>
        <v>0</v>
      </c>
      <c r="O63" s="935">
        <f t="shared" si="52"/>
        <v>0</v>
      </c>
      <c r="P63" s="935">
        <f t="shared" si="52"/>
        <v>500</v>
      </c>
      <c r="Q63" s="935">
        <f t="shared" si="52"/>
        <v>0</v>
      </c>
      <c r="R63" s="935">
        <f t="shared" si="52"/>
        <v>0</v>
      </c>
      <c r="S63" s="935">
        <f t="shared" si="52"/>
        <v>0</v>
      </c>
      <c r="T63" s="935">
        <f t="shared" si="52"/>
        <v>0</v>
      </c>
      <c r="U63" s="935">
        <f t="shared" si="52"/>
        <v>0</v>
      </c>
      <c r="V63" s="935">
        <f t="shared" si="52"/>
        <v>0</v>
      </c>
      <c r="W63" s="935">
        <f t="shared" si="52"/>
        <v>0</v>
      </c>
      <c r="X63" s="936">
        <f t="shared" si="52"/>
        <v>0</v>
      </c>
    </row>
    <row r="64" spans="3:24" ht="20.100000000000001" hidden="1" customHeight="1">
      <c r="C64" s="899"/>
      <c r="D64" s="957">
        <v>4</v>
      </c>
      <c r="E64" s="957" t="s">
        <v>100</v>
      </c>
      <c r="F64" s="900" t="s">
        <v>641</v>
      </c>
      <c r="G64" s="958"/>
      <c r="H64" s="672" t="s">
        <v>272</v>
      </c>
      <c r="I64" s="1663"/>
      <c r="J64" s="1660"/>
      <c r="K64" s="926" t="s">
        <v>688</v>
      </c>
      <c r="L64" s="933"/>
      <c r="M64" s="970"/>
      <c r="N64" s="970"/>
      <c r="O64" s="970"/>
      <c r="P64" s="970"/>
      <c r="Q64" s="970"/>
      <c r="R64" s="970">
        <v>285</v>
      </c>
      <c r="S64" s="970"/>
      <c r="T64" s="970"/>
      <c r="U64" s="970"/>
      <c r="V64" s="970"/>
      <c r="W64" s="970"/>
      <c r="X64" s="970"/>
    </row>
    <row r="65" spans="3:24" ht="20.100000000000001" hidden="1" customHeight="1">
      <c r="C65" s="899"/>
      <c r="D65" s="103">
        <v>4</v>
      </c>
      <c r="E65" s="103" t="s">
        <v>100</v>
      </c>
      <c r="F65" s="900" t="s">
        <v>641</v>
      </c>
      <c r="G65" s="925"/>
      <c r="H65" s="672" t="s">
        <v>272</v>
      </c>
      <c r="I65" s="1643"/>
      <c r="J65" s="1661"/>
      <c r="K65" s="926" t="s">
        <v>569</v>
      </c>
      <c r="L65" s="902">
        <f>SUM(M65:X65)</f>
        <v>0</v>
      </c>
      <c r="M65" s="927">
        <f>(M63*M64)</f>
        <v>0</v>
      </c>
      <c r="N65" s="903">
        <f t="shared" ref="N65:R65" si="53">(N63*N64)</f>
        <v>0</v>
      </c>
      <c r="O65" s="903">
        <f t="shared" si="53"/>
        <v>0</v>
      </c>
      <c r="P65" s="903">
        <f t="shared" si="53"/>
        <v>0</v>
      </c>
      <c r="Q65" s="903">
        <f t="shared" si="53"/>
        <v>0</v>
      </c>
      <c r="R65" s="903">
        <f t="shared" si="53"/>
        <v>0</v>
      </c>
      <c r="S65" s="903">
        <f t="shared" ref="S65:X65" si="54">(S63*S64)</f>
        <v>0</v>
      </c>
      <c r="T65" s="903">
        <f t="shared" si="54"/>
        <v>0</v>
      </c>
      <c r="U65" s="903">
        <f t="shared" si="54"/>
        <v>0</v>
      </c>
      <c r="V65" s="903">
        <f t="shared" si="54"/>
        <v>0</v>
      </c>
      <c r="W65" s="903">
        <f t="shared" si="54"/>
        <v>0</v>
      </c>
      <c r="X65" s="904">
        <f t="shared" si="54"/>
        <v>0</v>
      </c>
    </row>
    <row r="66" spans="3:24" ht="20.100000000000001" hidden="1" customHeight="1">
      <c r="C66" s="899"/>
      <c r="D66" s="103">
        <v>5</v>
      </c>
      <c r="E66" s="103" t="s">
        <v>100</v>
      </c>
      <c r="F66" s="900" t="s">
        <v>641</v>
      </c>
      <c r="G66" s="925">
        <v>0.01</v>
      </c>
      <c r="H66" s="983" t="s">
        <v>273</v>
      </c>
      <c r="I66" s="1662">
        <f>(I51*G66)</f>
        <v>2</v>
      </c>
      <c r="J66" s="1665">
        <f>AVERAGE(M67:X67)</f>
        <v>200.41436288888889</v>
      </c>
      <c r="K66" s="926" t="s">
        <v>682</v>
      </c>
      <c r="L66" s="933">
        <f>SUM(M66:X66)</f>
        <v>40</v>
      </c>
      <c r="M66" s="934">
        <f t="shared" ref="M66:X66" si="55">(M51*$G66)</f>
        <v>0</v>
      </c>
      <c r="N66" s="935">
        <f t="shared" si="55"/>
        <v>0</v>
      </c>
      <c r="O66" s="935">
        <f t="shared" si="55"/>
        <v>0</v>
      </c>
      <c r="P66" s="935">
        <f t="shared" si="55"/>
        <v>40</v>
      </c>
      <c r="Q66" s="935">
        <f t="shared" si="55"/>
        <v>0</v>
      </c>
      <c r="R66" s="935">
        <f t="shared" si="55"/>
        <v>0</v>
      </c>
      <c r="S66" s="935">
        <f t="shared" si="55"/>
        <v>0</v>
      </c>
      <c r="T66" s="935">
        <f t="shared" si="55"/>
        <v>0</v>
      </c>
      <c r="U66" s="935">
        <f t="shared" si="55"/>
        <v>0</v>
      </c>
      <c r="V66" s="935">
        <f t="shared" si="55"/>
        <v>0</v>
      </c>
      <c r="W66" s="935">
        <f t="shared" si="55"/>
        <v>0</v>
      </c>
      <c r="X66" s="936">
        <f t="shared" si="55"/>
        <v>0</v>
      </c>
    </row>
    <row r="67" spans="3:24" ht="20.100000000000001" hidden="1" customHeight="1">
      <c r="C67" s="899"/>
      <c r="D67" s="957">
        <v>5</v>
      </c>
      <c r="E67" s="957" t="s">
        <v>100</v>
      </c>
      <c r="F67" s="900" t="s">
        <v>641</v>
      </c>
      <c r="G67" s="958"/>
      <c r="H67" s="983" t="s">
        <v>273</v>
      </c>
      <c r="I67" s="1663"/>
      <c r="J67" s="1633"/>
      <c r="K67" s="926" t="s">
        <v>688</v>
      </c>
      <c r="L67" s="933"/>
      <c r="M67" s="970"/>
      <c r="N67" s="970"/>
      <c r="O67" s="970"/>
      <c r="P67" s="970"/>
      <c r="Q67" s="970"/>
      <c r="R67" s="970">
        <v>200.41436288888889</v>
      </c>
      <c r="S67" s="970"/>
      <c r="T67" s="970"/>
      <c r="U67" s="970"/>
      <c r="V67" s="970"/>
      <c r="W67" s="970"/>
      <c r="X67" s="970"/>
    </row>
    <row r="68" spans="3:24" ht="20.100000000000001" hidden="1" customHeight="1">
      <c r="C68" s="899"/>
      <c r="D68" s="103">
        <v>5</v>
      </c>
      <c r="E68" s="103" t="s">
        <v>100</v>
      </c>
      <c r="F68" s="900" t="s">
        <v>641</v>
      </c>
      <c r="G68" s="925"/>
      <c r="H68" s="983" t="s">
        <v>273</v>
      </c>
      <c r="I68" s="1643"/>
      <c r="J68" s="1634"/>
      <c r="K68" s="1108" t="s">
        <v>569</v>
      </c>
      <c r="L68" s="902">
        <f>SUM(M68:X68)</f>
        <v>0</v>
      </c>
      <c r="M68" s="927">
        <f>(M66*M67)</f>
        <v>0</v>
      </c>
      <c r="N68" s="903">
        <f t="shared" ref="N68:R68" si="56">(N66*N67)</f>
        <v>0</v>
      </c>
      <c r="O68" s="903">
        <f t="shared" si="56"/>
        <v>0</v>
      </c>
      <c r="P68" s="903">
        <f t="shared" si="56"/>
        <v>0</v>
      </c>
      <c r="Q68" s="903">
        <f t="shared" si="56"/>
        <v>0</v>
      </c>
      <c r="R68" s="903">
        <f t="shared" si="56"/>
        <v>0</v>
      </c>
      <c r="S68" s="903">
        <f t="shared" ref="S68:X68" si="57">(S66*S67)</f>
        <v>0</v>
      </c>
      <c r="T68" s="903">
        <f t="shared" si="57"/>
        <v>0</v>
      </c>
      <c r="U68" s="903">
        <f t="shared" si="57"/>
        <v>0</v>
      </c>
      <c r="V68" s="903">
        <f t="shared" si="57"/>
        <v>0</v>
      </c>
      <c r="W68" s="903">
        <f t="shared" si="57"/>
        <v>0</v>
      </c>
      <c r="X68" s="904">
        <f t="shared" si="57"/>
        <v>0</v>
      </c>
    </row>
    <row r="69" spans="3:24" ht="20.100000000000001" hidden="1" customHeight="1">
      <c r="C69" s="899"/>
      <c r="D69" s="103">
        <v>6</v>
      </c>
      <c r="E69" s="103" t="s">
        <v>100</v>
      </c>
      <c r="F69" s="900" t="s">
        <v>641</v>
      </c>
      <c r="G69" s="910">
        <v>0.64500000000000002</v>
      </c>
      <c r="H69" s="672" t="s">
        <v>204</v>
      </c>
      <c r="I69" s="247">
        <f>I51-SUM(I54:I66)</f>
        <v>129</v>
      </c>
      <c r="J69" s="672"/>
      <c r="K69" s="926" t="s">
        <v>682</v>
      </c>
      <c r="L69" s="905">
        <f>SUM(M69:X69)</f>
        <v>2580</v>
      </c>
      <c r="M69" s="928">
        <f t="shared" ref="M69:X69" si="58">(M51*$G69)</f>
        <v>0</v>
      </c>
      <c r="N69" s="907">
        <f>(N51*$G69)</f>
        <v>0</v>
      </c>
      <c r="O69" s="907">
        <f t="shared" si="58"/>
        <v>0</v>
      </c>
      <c r="P69" s="907">
        <f t="shared" si="58"/>
        <v>2580</v>
      </c>
      <c r="Q69" s="907">
        <f t="shared" si="58"/>
        <v>0</v>
      </c>
      <c r="R69" s="907">
        <f t="shared" si="58"/>
        <v>0</v>
      </c>
      <c r="S69" s="907">
        <f t="shared" si="58"/>
        <v>0</v>
      </c>
      <c r="T69" s="907">
        <f t="shared" si="58"/>
        <v>0</v>
      </c>
      <c r="U69" s="907">
        <f t="shared" si="58"/>
        <v>0</v>
      </c>
      <c r="V69" s="907">
        <f t="shared" si="58"/>
        <v>0</v>
      </c>
      <c r="W69" s="907">
        <f t="shared" si="58"/>
        <v>0</v>
      </c>
      <c r="X69" s="908">
        <f t="shared" si="58"/>
        <v>0</v>
      </c>
    </row>
    <row r="70" spans="3:24" ht="20.100000000000001" hidden="1" customHeight="1" collapsed="1">
      <c r="C70" s="878">
        <v>4</v>
      </c>
      <c r="D70" s="879">
        <v>0</v>
      </c>
      <c r="E70" s="879" t="s">
        <v>242</v>
      </c>
      <c r="F70" s="880" t="s">
        <v>3</v>
      </c>
      <c r="G70" s="1617"/>
      <c r="H70" s="1617"/>
      <c r="I70" s="1619">
        <v>100</v>
      </c>
      <c r="J70" s="1621">
        <f>AVERAGE(M71:X71)</f>
        <v>11.758415000000001</v>
      </c>
      <c r="K70" s="881" t="s">
        <v>682</v>
      </c>
      <c r="L70" s="1097">
        <f>SUM(M70:X70)</f>
        <v>1500</v>
      </c>
      <c r="M70" s="987"/>
      <c r="N70" s="883"/>
      <c r="O70" s="883"/>
      <c r="P70" s="883"/>
      <c r="Q70" s="883"/>
      <c r="R70" s="883">
        <v>1500</v>
      </c>
      <c r="S70" s="883"/>
      <c r="T70" s="883"/>
      <c r="U70" s="883"/>
      <c r="V70" s="883"/>
      <c r="W70" s="883"/>
      <c r="X70" s="991"/>
    </row>
    <row r="71" spans="3:24" ht="20.100000000000001" hidden="1" customHeight="1">
      <c r="C71" s="948"/>
      <c r="D71" s="956">
        <v>0</v>
      </c>
      <c r="E71" s="956" t="s">
        <v>242</v>
      </c>
      <c r="F71" s="950" t="s">
        <v>3</v>
      </c>
      <c r="G71" s="1617"/>
      <c r="H71" s="1617"/>
      <c r="I71" s="1619"/>
      <c r="J71" s="1621"/>
      <c r="K71" s="881" t="s">
        <v>688</v>
      </c>
      <c r="L71" s="952"/>
      <c r="M71" s="970"/>
      <c r="N71" s="970"/>
      <c r="O71" s="970"/>
      <c r="P71" s="970"/>
      <c r="Q71" s="970"/>
      <c r="R71" s="970">
        <f t="shared" ref="R71" si="59">(R72/R70)</f>
        <v>11.758415000000001</v>
      </c>
      <c r="S71" s="970"/>
      <c r="T71" s="970"/>
      <c r="U71" s="970"/>
      <c r="V71" s="970"/>
      <c r="W71" s="970"/>
      <c r="X71" s="976"/>
    </row>
    <row r="72" spans="3:24" ht="20.100000000000001" hidden="1" customHeight="1" thickBot="1">
      <c r="C72" s="885"/>
      <c r="D72" s="886">
        <v>0</v>
      </c>
      <c r="E72" s="886" t="s">
        <v>242</v>
      </c>
      <c r="F72" s="887" t="s">
        <v>3</v>
      </c>
      <c r="G72" s="1618"/>
      <c r="H72" s="1618"/>
      <c r="I72" s="1620"/>
      <c r="J72" s="1622"/>
      <c r="K72" s="888" t="s">
        <v>569</v>
      </c>
      <c r="L72" s="889">
        <f>SUM(M72:X72)</f>
        <v>17637.622500000001</v>
      </c>
      <c r="M72" s="919">
        <f>SUM(M75+M78+M81+M84)</f>
        <v>0</v>
      </c>
      <c r="N72" s="974">
        <f t="shared" ref="N72:X72" si="60">SUM(N75+N78+N81+N84)</f>
        <v>0</v>
      </c>
      <c r="O72" s="974">
        <f t="shared" si="60"/>
        <v>0</v>
      </c>
      <c r="P72" s="974">
        <f t="shared" si="60"/>
        <v>0</v>
      </c>
      <c r="Q72" s="974">
        <f t="shared" si="60"/>
        <v>0</v>
      </c>
      <c r="R72" s="974">
        <f t="shared" si="60"/>
        <v>17637.622500000001</v>
      </c>
      <c r="S72" s="974">
        <f t="shared" si="60"/>
        <v>0</v>
      </c>
      <c r="T72" s="974">
        <f t="shared" si="60"/>
        <v>0</v>
      </c>
      <c r="U72" s="974">
        <f t="shared" si="60"/>
        <v>0</v>
      </c>
      <c r="V72" s="974">
        <f t="shared" si="60"/>
        <v>0</v>
      </c>
      <c r="W72" s="974">
        <f t="shared" si="60"/>
        <v>0</v>
      </c>
      <c r="X72" s="975">
        <f t="shared" si="60"/>
        <v>0</v>
      </c>
    </row>
    <row r="73" spans="3:24" ht="20.100000000000001" hidden="1" customHeight="1">
      <c r="C73" s="890"/>
      <c r="D73" s="891">
        <v>1</v>
      </c>
      <c r="E73" s="891" t="s">
        <v>100</v>
      </c>
      <c r="F73" s="892" t="s">
        <v>3</v>
      </c>
      <c r="G73" s="1626">
        <v>0.2</v>
      </c>
      <c r="H73" s="1243" t="s">
        <v>216</v>
      </c>
      <c r="I73" s="1642">
        <f>(I70*G73)</f>
        <v>20</v>
      </c>
      <c r="J73" s="1632">
        <f>AVERAGE(M74:X74)</f>
        <v>37</v>
      </c>
      <c r="K73" s="894" t="s">
        <v>682</v>
      </c>
      <c r="L73" s="1204">
        <f>SUM(M73:X73)</f>
        <v>300</v>
      </c>
      <c r="M73" s="1205">
        <f>(M70*$G73)</f>
        <v>0</v>
      </c>
      <c r="N73" s="1206">
        <f t="shared" ref="N73:X73" si="61">(N70*$G73)</f>
        <v>0</v>
      </c>
      <c r="O73" s="1206">
        <f t="shared" si="61"/>
        <v>0</v>
      </c>
      <c r="P73" s="1206">
        <f t="shared" si="61"/>
        <v>0</v>
      </c>
      <c r="Q73" s="1206">
        <f t="shared" si="61"/>
        <v>0</v>
      </c>
      <c r="R73" s="1206">
        <f t="shared" si="61"/>
        <v>300</v>
      </c>
      <c r="S73" s="1206">
        <f t="shared" si="61"/>
        <v>0</v>
      </c>
      <c r="T73" s="1206">
        <f t="shared" si="61"/>
        <v>0</v>
      </c>
      <c r="U73" s="1206">
        <f t="shared" si="61"/>
        <v>0</v>
      </c>
      <c r="V73" s="1206">
        <f t="shared" si="61"/>
        <v>0</v>
      </c>
      <c r="W73" s="1206">
        <f t="shared" si="61"/>
        <v>0</v>
      </c>
      <c r="X73" s="1207">
        <f t="shared" si="61"/>
        <v>0</v>
      </c>
    </row>
    <row r="74" spans="3:24" ht="20.100000000000001" hidden="1" customHeight="1">
      <c r="C74" s="899"/>
      <c r="D74" s="1154">
        <v>1</v>
      </c>
      <c r="E74" s="1154" t="s">
        <v>100</v>
      </c>
      <c r="F74" s="900" t="s">
        <v>3</v>
      </c>
      <c r="G74" s="1628"/>
      <c r="H74" s="984" t="s">
        <v>216</v>
      </c>
      <c r="I74" s="1635"/>
      <c r="J74" s="1633"/>
      <c r="K74" s="901" t="s">
        <v>688</v>
      </c>
      <c r="L74" s="933"/>
      <c r="M74" s="970"/>
      <c r="N74" s="970"/>
      <c r="O74" s="970"/>
      <c r="P74" s="970"/>
      <c r="Q74" s="970"/>
      <c r="R74" s="970">
        <f t="shared" ref="R74" si="62">3700/100</f>
        <v>37</v>
      </c>
      <c r="S74" s="970"/>
      <c r="T74" s="970"/>
      <c r="U74" s="970"/>
      <c r="V74" s="970"/>
      <c r="W74" s="970"/>
      <c r="X74" s="990"/>
    </row>
    <row r="75" spans="3:24" ht="20.100000000000001" hidden="1" customHeight="1">
      <c r="C75" s="899"/>
      <c r="D75" s="1154">
        <v>1</v>
      </c>
      <c r="E75" s="1154" t="s">
        <v>100</v>
      </c>
      <c r="F75" s="900" t="s">
        <v>3</v>
      </c>
      <c r="G75" s="1628"/>
      <c r="H75" s="984" t="s">
        <v>216</v>
      </c>
      <c r="I75" s="1635"/>
      <c r="J75" s="1634"/>
      <c r="K75" s="901" t="s">
        <v>569</v>
      </c>
      <c r="L75" s="902">
        <f>SUM(M75:X75)</f>
        <v>11100</v>
      </c>
      <c r="M75" s="927">
        <f t="shared" ref="M75:X75" si="63">(M73*M74)</f>
        <v>0</v>
      </c>
      <c r="N75" s="903">
        <f t="shared" si="63"/>
        <v>0</v>
      </c>
      <c r="O75" s="903">
        <f t="shared" si="63"/>
        <v>0</v>
      </c>
      <c r="P75" s="903">
        <f t="shared" si="63"/>
        <v>0</v>
      </c>
      <c r="Q75" s="903">
        <f t="shared" si="63"/>
        <v>0</v>
      </c>
      <c r="R75" s="903">
        <f t="shared" si="63"/>
        <v>11100</v>
      </c>
      <c r="S75" s="903">
        <f t="shared" si="63"/>
        <v>0</v>
      </c>
      <c r="T75" s="903">
        <f t="shared" si="63"/>
        <v>0</v>
      </c>
      <c r="U75" s="903">
        <f t="shared" si="63"/>
        <v>0</v>
      </c>
      <c r="V75" s="903">
        <f t="shared" si="63"/>
        <v>0</v>
      </c>
      <c r="W75" s="903">
        <f t="shared" si="63"/>
        <v>0</v>
      </c>
      <c r="X75" s="904">
        <f t="shared" si="63"/>
        <v>0</v>
      </c>
    </row>
    <row r="76" spans="3:24" ht="19.5" hidden="1" customHeight="1">
      <c r="C76" s="899"/>
      <c r="D76" s="1154">
        <v>2</v>
      </c>
      <c r="E76" s="1154" t="s">
        <v>100</v>
      </c>
      <c r="F76" s="900" t="s">
        <v>3</v>
      </c>
      <c r="G76" s="1628">
        <v>0.25</v>
      </c>
      <c r="H76" s="983" t="s">
        <v>209</v>
      </c>
      <c r="I76" s="1635">
        <f>(I70*G76)</f>
        <v>25</v>
      </c>
      <c r="J76" s="1664">
        <f>AVERAGE(M77:X77)</f>
        <v>16.8</v>
      </c>
      <c r="K76" s="901" t="s">
        <v>682</v>
      </c>
      <c r="L76" s="933">
        <f t="shared" si="26"/>
        <v>375</v>
      </c>
      <c r="M76" s="934">
        <f t="shared" ref="M76:X76" si="64">(M70*$G76)</f>
        <v>0</v>
      </c>
      <c r="N76" s="935">
        <f t="shared" si="64"/>
        <v>0</v>
      </c>
      <c r="O76" s="935">
        <f t="shared" si="64"/>
        <v>0</v>
      </c>
      <c r="P76" s="935">
        <f t="shared" si="64"/>
        <v>0</v>
      </c>
      <c r="Q76" s="935">
        <f t="shared" si="64"/>
        <v>0</v>
      </c>
      <c r="R76" s="935">
        <f t="shared" si="64"/>
        <v>375</v>
      </c>
      <c r="S76" s="935">
        <f t="shared" si="64"/>
        <v>0</v>
      </c>
      <c r="T76" s="935">
        <f t="shared" si="64"/>
        <v>0</v>
      </c>
      <c r="U76" s="935">
        <f t="shared" si="64"/>
        <v>0</v>
      </c>
      <c r="V76" s="935">
        <f t="shared" si="64"/>
        <v>0</v>
      </c>
      <c r="W76" s="935">
        <f t="shared" si="64"/>
        <v>0</v>
      </c>
      <c r="X76" s="936">
        <f t="shared" si="64"/>
        <v>0</v>
      </c>
    </row>
    <row r="77" spans="3:24" ht="19.5" hidden="1" customHeight="1">
      <c r="C77" s="899"/>
      <c r="D77" s="1154">
        <v>2</v>
      </c>
      <c r="E77" s="1154" t="s">
        <v>100</v>
      </c>
      <c r="F77" s="900" t="s">
        <v>3</v>
      </c>
      <c r="G77" s="1628"/>
      <c r="H77" s="983" t="s">
        <v>209</v>
      </c>
      <c r="I77" s="1635"/>
      <c r="J77" s="1633"/>
      <c r="K77" s="901" t="s">
        <v>688</v>
      </c>
      <c r="L77" s="933"/>
      <c r="M77" s="970"/>
      <c r="N77" s="970"/>
      <c r="O77" s="970"/>
      <c r="P77" s="970"/>
      <c r="Q77" s="970"/>
      <c r="R77" s="970">
        <v>16.8</v>
      </c>
      <c r="S77" s="970"/>
      <c r="T77" s="970"/>
      <c r="U77" s="970"/>
      <c r="V77" s="970"/>
      <c r="W77" s="970"/>
      <c r="X77" s="990"/>
    </row>
    <row r="78" spans="3:24" ht="19.5" hidden="1" customHeight="1">
      <c r="C78" s="899"/>
      <c r="D78" s="1154">
        <v>2</v>
      </c>
      <c r="E78" s="1154" t="s">
        <v>100</v>
      </c>
      <c r="F78" s="900" t="s">
        <v>3</v>
      </c>
      <c r="G78" s="1628"/>
      <c r="H78" s="983" t="s">
        <v>209</v>
      </c>
      <c r="I78" s="1635"/>
      <c r="J78" s="1634"/>
      <c r="K78" s="1107" t="s">
        <v>569</v>
      </c>
      <c r="L78" s="902">
        <f t="shared" si="26"/>
        <v>6300</v>
      </c>
      <c r="M78" s="927">
        <f t="shared" ref="M78:X78" si="65">(M76*M77)</f>
        <v>0</v>
      </c>
      <c r="N78" s="903">
        <f t="shared" si="65"/>
        <v>0</v>
      </c>
      <c r="O78" s="903">
        <f t="shared" si="65"/>
        <v>0</v>
      </c>
      <c r="P78" s="903">
        <f t="shared" si="65"/>
        <v>0</v>
      </c>
      <c r="Q78" s="903">
        <f t="shared" si="65"/>
        <v>0</v>
      </c>
      <c r="R78" s="903">
        <f t="shared" si="65"/>
        <v>6300</v>
      </c>
      <c r="S78" s="903">
        <f t="shared" si="65"/>
        <v>0</v>
      </c>
      <c r="T78" s="903">
        <f t="shared" si="65"/>
        <v>0</v>
      </c>
      <c r="U78" s="903">
        <f t="shared" si="65"/>
        <v>0</v>
      </c>
      <c r="V78" s="903">
        <f t="shared" si="65"/>
        <v>0</v>
      </c>
      <c r="W78" s="903">
        <f t="shared" si="65"/>
        <v>0</v>
      </c>
      <c r="X78" s="904">
        <f t="shared" si="65"/>
        <v>0</v>
      </c>
    </row>
    <row r="79" spans="3:24" ht="20.100000000000001" hidden="1" customHeight="1">
      <c r="C79" s="899"/>
      <c r="D79" s="1154">
        <v>3</v>
      </c>
      <c r="E79" s="1154" t="s">
        <v>100</v>
      </c>
      <c r="F79" s="900" t="s">
        <v>3</v>
      </c>
      <c r="G79" s="1628">
        <v>0.01</v>
      </c>
      <c r="H79" s="673" t="s">
        <v>212</v>
      </c>
      <c r="I79" s="1635">
        <f>(I70*G79)</f>
        <v>1</v>
      </c>
      <c r="J79" s="1664">
        <f>AVERAGE(M80:X80)</f>
        <v>13.568999999999999</v>
      </c>
      <c r="K79" s="901" t="s">
        <v>682</v>
      </c>
      <c r="L79" s="933">
        <f t="shared" si="26"/>
        <v>15</v>
      </c>
      <c r="M79" s="934">
        <f t="shared" ref="M79:X79" si="66">(M70*$G79)</f>
        <v>0</v>
      </c>
      <c r="N79" s="935">
        <f t="shared" si="66"/>
        <v>0</v>
      </c>
      <c r="O79" s="935">
        <f t="shared" si="66"/>
        <v>0</v>
      </c>
      <c r="P79" s="935">
        <f t="shared" si="66"/>
        <v>0</v>
      </c>
      <c r="Q79" s="935">
        <f t="shared" si="66"/>
        <v>0</v>
      </c>
      <c r="R79" s="935">
        <f t="shared" si="66"/>
        <v>15</v>
      </c>
      <c r="S79" s="935">
        <f t="shared" si="66"/>
        <v>0</v>
      </c>
      <c r="T79" s="935">
        <f t="shared" si="66"/>
        <v>0</v>
      </c>
      <c r="U79" s="935">
        <f t="shared" si="66"/>
        <v>0</v>
      </c>
      <c r="V79" s="935">
        <f t="shared" si="66"/>
        <v>0</v>
      </c>
      <c r="W79" s="935">
        <f t="shared" si="66"/>
        <v>0</v>
      </c>
      <c r="X79" s="936">
        <f t="shared" si="66"/>
        <v>0</v>
      </c>
    </row>
    <row r="80" spans="3:24" ht="20.100000000000001" hidden="1" customHeight="1">
      <c r="C80" s="899"/>
      <c r="D80" s="1154">
        <v>3</v>
      </c>
      <c r="E80" s="1154" t="s">
        <v>100</v>
      </c>
      <c r="F80" s="900" t="s">
        <v>3</v>
      </c>
      <c r="G80" s="1628"/>
      <c r="H80" s="983" t="s">
        <v>212</v>
      </c>
      <c r="I80" s="1635"/>
      <c r="J80" s="1633"/>
      <c r="K80" s="901" t="s">
        <v>688</v>
      </c>
      <c r="L80" s="933"/>
      <c r="M80" s="970"/>
      <c r="N80" s="970"/>
      <c r="O80" s="970"/>
      <c r="P80" s="970"/>
      <c r="Q80" s="970"/>
      <c r="R80" s="970">
        <v>13.568999999999999</v>
      </c>
      <c r="S80" s="970"/>
      <c r="T80" s="970"/>
      <c r="U80" s="970"/>
      <c r="V80" s="970"/>
      <c r="W80" s="970"/>
      <c r="X80" s="990"/>
    </row>
    <row r="81" spans="3:24" ht="20.100000000000001" hidden="1" customHeight="1">
      <c r="C81" s="899"/>
      <c r="D81" s="1154">
        <v>3</v>
      </c>
      <c r="E81" s="1154" t="s">
        <v>100</v>
      </c>
      <c r="F81" s="900" t="s">
        <v>3</v>
      </c>
      <c r="G81" s="1628"/>
      <c r="H81" s="983" t="s">
        <v>212</v>
      </c>
      <c r="I81" s="1635"/>
      <c r="J81" s="1634"/>
      <c r="K81" s="901" t="s">
        <v>569</v>
      </c>
      <c r="L81" s="902">
        <f t="shared" si="26"/>
        <v>203.535</v>
      </c>
      <c r="M81" s="927">
        <f t="shared" ref="M81:X81" si="67">(M79*M80)</f>
        <v>0</v>
      </c>
      <c r="N81" s="903">
        <f t="shared" si="67"/>
        <v>0</v>
      </c>
      <c r="O81" s="903">
        <f t="shared" si="67"/>
        <v>0</v>
      </c>
      <c r="P81" s="903">
        <f t="shared" si="67"/>
        <v>0</v>
      </c>
      <c r="Q81" s="903">
        <f t="shared" si="67"/>
        <v>0</v>
      </c>
      <c r="R81" s="903">
        <f t="shared" si="67"/>
        <v>203.535</v>
      </c>
      <c r="S81" s="903">
        <f t="shared" si="67"/>
        <v>0</v>
      </c>
      <c r="T81" s="903">
        <f t="shared" si="67"/>
        <v>0</v>
      </c>
      <c r="U81" s="903">
        <f t="shared" si="67"/>
        <v>0</v>
      </c>
      <c r="V81" s="903">
        <f t="shared" si="67"/>
        <v>0</v>
      </c>
      <c r="W81" s="903">
        <f t="shared" si="67"/>
        <v>0</v>
      </c>
      <c r="X81" s="904">
        <f t="shared" si="67"/>
        <v>0</v>
      </c>
    </row>
    <row r="82" spans="3:24" ht="20.100000000000001" hidden="1" customHeight="1">
      <c r="C82" s="899"/>
      <c r="D82" s="1154">
        <v>4</v>
      </c>
      <c r="E82" s="1154" t="s">
        <v>100</v>
      </c>
      <c r="F82" s="900" t="s">
        <v>3</v>
      </c>
      <c r="G82" s="1628">
        <v>1.4999999999999999E-2</v>
      </c>
      <c r="H82" s="983" t="s">
        <v>764</v>
      </c>
      <c r="I82" s="1635">
        <f>(I70*G82)</f>
        <v>1.5</v>
      </c>
      <c r="J82" s="1664">
        <f>AVERAGE(M83:X83)</f>
        <v>1.5149999999999999</v>
      </c>
      <c r="K82" s="901" t="s">
        <v>682</v>
      </c>
      <c r="L82" s="933">
        <f t="shared" si="26"/>
        <v>22.5</v>
      </c>
      <c r="M82" s="934">
        <f t="shared" ref="M82:X82" si="68">(M70*$G82)</f>
        <v>0</v>
      </c>
      <c r="N82" s="935">
        <f t="shared" si="68"/>
        <v>0</v>
      </c>
      <c r="O82" s="935">
        <f t="shared" si="68"/>
        <v>0</v>
      </c>
      <c r="P82" s="935">
        <f t="shared" si="68"/>
        <v>0</v>
      </c>
      <c r="Q82" s="935">
        <f t="shared" si="68"/>
        <v>0</v>
      </c>
      <c r="R82" s="935">
        <f t="shared" si="68"/>
        <v>22.5</v>
      </c>
      <c r="S82" s="935">
        <f t="shared" si="68"/>
        <v>0</v>
      </c>
      <c r="T82" s="935">
        <f t="shared" si="68"/>
        <v>0</v>
      </c>
      <c r="U82" s="935">
        <f t="shared" si="68"/>
        <v>0</v>
      </c>
      <c r="V82" s="935">
        <f t="shared" si="68"/>
        <v>0</v>
      </c>
      <c r="W82" s="935">
        <f t="shared" si="68"/>
        <v>0</v>
      </c>
      <c r="X82" s="936">
        <f t="shared" si="68"/>
        <v>0</v>
      </c>
    </row>
    <row r="83" spans="3:24" ht="20.100000000000001" hidden="1" customHeight="1">
      <c r="C83" s="899"/>
      <c r="D83" s="1154">
        <v>4</v>
      </c>
      <c r="E83" s="1154" t="s">
        <v>100</v>
      </c>
      <c r="F83" s="900" t="s">
        <v>3</v>
      </c>
      <c r="G83" s="1628"/>
      <c r="H83" s="983" t="s">
        <v>764</v>
      </c>
      <c r="I83" s="1635"/>
      <c r="J83" s="1633"/>
      <c r="K83" s="901" t="s">
        <v>688</v>
      </c>
      <c r="L83" s="933"/>
      <c r="M83" s="970"/>
      <c r="N83" s="970"/>
      <c r="O83" s="970"/>
      <c r="P83" s="970"/>
      <c r="Q83" s="970"/>
      <c r="R83" s="970">
        <v>1.5149999999999999</v>
      </c>
      <c r="S83" s="970"/>
      <c r="T83" s="970"/>
      <c r="U83" s="970"/>
      <c r="V83" s="970"/>
      <c r="W83" s="970"/>
      <c r="X83" s="990"/>
    </row>
    <row r="84" spans="3:24" ht="20.100000000000001" hidden="1" customHeight="1">
      <c r="C84" s="899"/>
      <c r="D84" s="1154">
        <v>4</v>
      </c>
      <c r="E84" s="1154" t="s">
        <v>100</v>
      </c>
      <c r="F84" s="900" t="s">
        <v>3</v>
      </c>
      <c r="G84" s="1628"/>
      <c r="H84" s="983" t="s">
        <v>764</v>
      </c>
      <c r="I84" s="1635"/>
      <c r="J84" s="1634"/>
      <c r="K84" s="901" t="s">
        <v>569</v>
      </c>
      <c r="L84" s="902">
        <f t="shared" si="26"/>
        <v>34.087499999999999</v>
      </c>
      <c r="M84" s="927">
        <f t="shared" ref="M84:X84" si="69">(M82*M83)</f>
        <v>0</v>
      </c>
      <c r="N84" s="903">
        <f t="shared" si="69"/>
        <v>0</v>
      </c>
      <c r="O84" s="903">
        <f t="shared" si="69"/>
        <v>0</v>
      </c>
      <c r="P84" s="903">
        <f t="shared" si="69"/>
        <v>0</v>
      </c>
      <c r="Q84" s="903">
        <f t="shared" si="69"/>
        <v>0</v>
      </c>
      <c r="R84" s="903">
        <f t="shared" si="69"/>
        <v>34.087499999999999</v>
      </c>
      <c r="S84" s="903">
        <f t="shared" si="69"/>
        <v>0</v>
      </c>
      <c r="T84" s="903">
        <f t="shared" si="69"/>
        <v>0</v>
      </c>
      <c r="U84" s="903">
        <f t="shared" si="69"/>
        <v>0</v>
      </c>
      <c r="V84" s="903">
        <f t="shared" si="69"/>
        <v>0</v>
      </c>
      <c r="W84" s="903">
        <f t="shared" si="69"/>
        <v>0</v>
      </c>
      <c r="X84" s="904">
        <f t="shared" si="69"/>
        <v>0</v>
      </c>
    </row>
    <row r="85" spans="3:24" ht="20.100000000000001" hidden="1" customHeight="1" thickBot="1">
      <c r="C85" s="885"/>
      <c r="D85" s="1155">
        <v>5</v>
      </c>
      <c r="E85" s="1155" t="s">
        <v>100</v>
      </c>
      <c r="F85" s="887" t="s">
        <v>3</v>
      </c>
      <c r="G85" s="1236">
        <f>(I85/I70)</f>
        <v>0.9</v>
      </c>
      <c r="H85" s="986" t="s">
        <v>204</v>
      </c>
      <c r="I85" s="1237">
        <f>I70*0.9</f>
        <v>90</v>
      </c>
      <c r="J85" s="915"/>
      <c r="K85" s="937" t="s">
        <v>682</v>
      </c>
      <c r="L85" s="1238">
        <f t="shared" si="26"/>
        <v>1350</v>
      </c>
      <c r="M85" s="1239">
        <f t="shared" ref="M85:X85" si="70">(M70*$G85)</f>
        <v>0</v>
      </c>
      <c r="N85" s="1240">
        <f t="shared" si="70"/>
        <v>0</v>
      </c>
      <c r="O85" s="1240">
        <f t="shared" si="70"/>
        <v>0</v>
      </c>
      <c r="P85" s="1240">
        <f t="shared" si="70"/>
        <v>0</v>
      </c>
      <c r="Q85" s="1240">
        <f t="shared" si="70"/>
        <v>0</v>
      </c>
      <c r="R85" s="1240">
        <f t="shared" si="70"/>
        <v>1350</v>
      </c>
      <c r="S85" s="1240">
        <f t="shared" si="70"/>
        <v>0</v>
      </c>
      <c r="T85" s="1240">
        <f t="shared" si="70"/>
        <v>0</v>
      </c>
      <c r="U85" s="1240">
        <f t="shared" si="70"/>
        <v>0</v>
      </c>
      <c r="V85" s="1240">
        <f t="shared" si="70"/>
        <v>0</v>
      </c>
      <c r="W85" s="1240">
        <f t="shared" si="70"/>
        <v>0</v>
      </c>
      <c r="X85" s="1241">
        <f t="shared" si="70"/>
        <v>0</v>
      </c>
    </row>
    <row r="86" spans="3:24" collapsed="1"/>
    <row r="87" spans="3:24" ht="15.75" outlineLevel="1" thickBot="1">
      <c r="F87" s="860" t="e">
        <f>(#REF!+#REF!+#REF!+#REF!)</f>
        <v>#REF!</v>
      </c>
      <c r="G87" s="860"/>
      <c r="H87" s="861"/>
      <c r="I87" s="860"/>
      <c r="J87" s="860"/>
      <c r="K87" s="102"/>
      <c r="L87" s="862">
        <f>SUBTOTAL(9,L93:L125)</f>
        <v>4476000.2594108144</v>
      </c>
      <c r="M87" s="862">
        <f>SUBTOTAL(9,M93:M125)</f>
        <v>615433.97446489707</v>
      </c>
      <c r="N87" s="862">
        <f t="shared" ref="N87:X87" si="71">SUBTOTAL(9,N93:N125)</f>
        <v>317541.74989446119</v>
      </c>
      <c r="O87" s="862">
        <f t="shared" si="71"/>
        <v>368711.77642341692</v>
      </c>
      <c r="P87" s="862">
        <f t="shared" si="71"/>
        <v>116696.87713157092</v>
      </c>
      <c r="Q87" s="862">
        <f t="shared" si="71"/>
        <v>349652.45583502576</v>
      </c>
      <c r="R87" s="862">
        <f t="shared" si="71"/>
        <v>371739.64670239738</v>
      </c>
      <c r="S87" s="862">
        <f t="shared" si="71"/>
        <v>516561.58266659151</v>
      </c>
      <c r="T87" s="862">
        <f t="shared" si="71"/>
        <v>398794.75239455729</v>
      </c>
      <c r="U87" s="862">
        <f t="shared" si="71"/>
        <v>201192.10028767536</v>
      </c>
      <c r="V87" s="862">
        <f t="shared" si="71"/>
        <v>395948.51220125845</v>
      </c>
      <c r="W87" s="862">
        <f t="shared" si="71"/>
        <v>388996.88369182317</v>
      </c>
      <c r="X87" s="862">
        <f t="shared" si="71"/>
        <v>434729.94771713944</v>
      </c>
    </row>
    <row r="88" spans="3:24" outlineLevel="1">
      <c r="C88" s="1605" t="s">
        <v>0</v>
      </c>
      <c r="D88" s="1608" t="s">
        <v>94</v>
      </c>
      <c r="E88" s="1608" t="s">
        <v>664</v>
      </c>
      <c r="F88" s="1608" t="s">
        <v>2</v>
      </c>
      <c r="G88" s="1608" t="s">
        <v>665</v>
      </c>
      <c r="H88" s="1623" t="s">
        <v>666</v>
      </c>
      <c r="I88" s="1611" t="s">
        <v>667</v>
      </c>
      <c r="J88" s="1611" t="s">
        <v>668</v>
      </c>
      <c r="K88" s="1614" t="s">
        <v>687</v>
      </c>
      <c r="L88" s="1614" t="s">
        <v>669</v>
      </c>
      <c r="M88" s="863" t="s">
        <v>670</v>
      </c>
      <c r="N88" s="864" t="s">
        <v>671</v>
      </c>
      <c r="O88" s="863" t="s">
        <v>672</v>
      </c>
      <c r="P88" s="864" t="s">
        <v>673</v>
      </c>
      <c r="Q88" s="863" t="s">
        <v>674</v>
      </c>
      <c r="R88" s="864" t="s">
        <v>675</v>
      </c>
      <c r="S88" s="863" t="s">
        <v>676</v>
      </c>
      <c r="T88" s="864" t="s">
        <v>677</v>
      </c>
      <c r="U88" s="863" t="s">
        <v>678</v>
      </c>
      <c r="V88" s="864" t="s">
        <v>679</v>
      </c>
      <c r="W88" s="863" t="s">
        <v>680</v>
      </c>
      <c r="X88" s="865" t="s">
        <v>681</v>
      </c>
    </row>
    <row r="89" spans="3:24" outlineLevel="1">
      <c r="C89" s="1606"/>
      <c r="D89" s="1609"/>
      <c r="E89" s="1609"/>
      <c r="F89" s="1609"/>
      <c r="G89" s="1609"/>
      <c r="H89" s="1624"/>
      <c r="I89" s="1612"/>
      <c r="J89" s="1612"/>
      <c r="K89" s="1615"/>
      <c r="L89" s="1615"/>
      <c r="M89" s="866">
        <f t="shared" ref="M89:X89" si="72">WEEKNUM(M90,21)</f>
        <v>1</v>
      </c>
      <c r="N89" s="867">
        <f t="shared" si="72"/>
        <v>5</v>
      </c>
      <c r="O89" s="866">
        <f t="shared" si="72"/>
        <v>9</v>
      </c>
      <c r="P89" s="867">
        <f t="shared" si="72"/>
        <v>14</v>
      </c>
      <c r="Q89" s="866">
        <f t="shared" si="72"/>
        <v>18</v>
      </c>
      <c r="R89" s="867">
        <f t="shared" si="72"/>
        <v>22</v>
      </c>
      <c r="S89" s="866">
        <f t="shared" si="72"/>
        <v>27</v>
      </c>
      <c r="T89" s="867">
        <f t="shared" si="72"/>
        <v>31</v>
      </c>
      <c r="U89" s="866">
        <f t="shared" si="72"/>
        <v>35</v>
      </c>
      <c r="V89" s="867">
        <f t="shared" si="72"/>
        <v>40</v>
      </c>
      <c r="W89" s="866">
        <f t="shared" si="72"/>
        <v>44</v>
      </c>
      <c r="X89" s="868">
        <f t="shared" si="72"/>
        <v>48</v>
      </c>
    </row>
    <row r="90" spans="3:24" ht="15.75" outlineLevel="1" thickBot="1">
      <c r="C90" s="1607"/>
      <c r="D90" s="1610"/>
      <c r="E90" s="1610"/>
      <c r="F90" s="1610"/>
      <c r="G90" s="1610"/>
      <c r="H90" s="1625"/>
      <c r="I90" s="1613"/>
      <c r="J90" s="1613"/>
      <c r="K90" s="1616"/>
      <c r="L90" s="1616"/>
      <c r="M90" s="869">
        <v>45292</v>
      </c>
      <c r="N90" s="870">
        <v>45323</v>
      </c>
      <c r="O90" s="869">
        <v>45352</v>
      </c>
      <c r="P90" s="870">
        <v>45383</v>
      </c>
      <c r="Q90" s="869">
        <v>45413</v>
      </c>
      <c r="R90" s="870">
        <v>45444</v>
      </c>
      <c r="S90" s="869">
        <v>45474</v>
      </c>
      <c r="T90" s="870">
        <v>45505</v>
      </c>
      <c r="U90" s="869">
        <v>45536</v>
      </c>
      <c r="V90" s="870">
        <v>45566</v>
      </c>
      <c r="W90" s="869">
        <v>45597</v>
      </c>
      <c r="X90" s="871">
        <v>45627</v>
      </c>
    </row>
    <row r="91" spans="3:24" outlineLevel="1"/>
    <row r="92" spans="3:24" hidden="1" outlineLevel="2">
      <c r="H92" s="101" t="s">
        <v>273</v>
      </c>
      <c r="J92" s="955"/>
      <c r="K92" s="901" t="s">
        <v>682</v>
      </c>
      <c r="L92" s="1442"/>
      <c r="M92" s="1442">
        <f>(M66)</f>
        <v>0</v>
      </c>
      <c r="N92" s="1442">
        <f t="shared" ref="N92:X92" si="73">(N66)</f>
        <v>0</v>
      </c>
      <c r="O92" s="1442">
        <f t="shared" si="73"/>
        <v>0</v>
      </c>
      <c r="P92" s="1442">
        <f t="shared" si="73"/>
        <v>40</v>
      </c>
      <c r="Q92" s="1442">
        <f t="shared" si="73"/>
        <v>0</v>
      </c>
      <c r="R92" s="1442">
        <f t="shared" si="73"/>
        <v>0</v>
      </c>
      <c r="S92" s="1442">
        <f t="shared" si="73"/>
        <v>0</v>
      </c>
      <c r="T92" s="1442">
        <f t="shared" si="73"/>
        <v>0</v>
      </c>
      <c r="U92" s="1442">
        <f t="shared" si="73"/>
        <v>0</v>
      </c>
      <c r="V92" s="1442">
        <f t="shared" si="73"/>
        <v>0</v>
      </c>
      <c r="W92" s="1442">
        <f t="shared" si="73"/>
        <v>0</v>
      </c>
      <c r="X92" s="1442">
        <f t="shared" si="73"/>
        <v>0</v>
      </c>
    </row>
    <row r="93" spans="3:24" hidden="1" outlineLevel="2">
      <c r="H93" s="101" t="s">
        <v>273</v>
      </c>
      <c r="J93" s="955">
        <f>(J66)</f>
        <v>200.41436288888889</v>
      </c>
      <c r="K93" s="900" t="s">
        <v>569</v>
      </c>
      <c r="L93" s="903">
        <f>SUM(M93:X93)</f>
        <v>0</v>
      </c>
      <c r="M93" s="903">
        <f>(M68)</f>
        <v>0</v>
      </c>
      <c r="N93" s="903">
        <f t="shared" ref="N93:X93" si="74">(N68)</f>
        <v>0</v>
      </c>
      <c r="O93" s="903">
        <f t="shared" si="74"/>
        <v>0</v>
      </c>
      <c r="P93" s="903">
        <f t="shared" si="74"/>
        <v>0</v>
      </c>
      <c r="Q93" s="903">
        <f t="shared" si="74"/>
        <v>0</v>
      </c>
      <c r="R93" s="903">
        <f t="shared" si="74"/>
        <v>0</v>
      </c>
      <c r="S93" s="903">
        <f t="shared" si="74"/>
        <v>0</v>
      </c>
      <c r="T93" s="903">
        <f t="shared" si="74"/>
        <v>0</v>
      </c>
      <c r="U93" s="903">
        <f t="shared" si="74"/>
        <v>0</v>
      </c>
      <c r="V93" s="903">
        <f t="shared" si="74"/>
        <v>0</v>
      </c>
      <c r="W93" s="903">
        <f t="shared" si="74"/>
        <v>0</v>
      </c>
      <c r="X93" s="903">
        <f t="shared" si="74"/>
        <v>0</v>
      </c>
    </row>
    <row r="94" spans="3:24" hidden="1" outlineLevel="2">
      <c r="H94" s="101" t="s">
        <v>209</v>
      </c>
      <c r="J94" s="955"/>
      <c r="K94" s="901" t="s">
        <v>682</v>
      </c>
      <c r="L94" s="903"/>
      <c r="M94" s="903"/>
      <c r="N94" s="903"/>
      <c r="O94" s="903"/>
      <c r="P94" s="903"/>
      <c r="Q94" s="903"/>
      <c r="R94" s="903"/>
      <c r="S94" s="903"/>
      <c r="T94" s="903"/>
      <c r="U94" s="903"/>
      <c r="V94" s="903"/>
      <c r="W94" s="903"/>
      <c r="X94" s="903"/>
    </row>
    <row r="95" spans="3:24" hidden="1" outlineLevel="2">
      <c r="H95" s="101" t="s">
        <v>209</v>
      </c>
      <c r="J95" s="955">
        <f>(J76)</f>
        <v>16.8</v>
      </c>
      <c r="K95" s="900" t="s">
        <v>569</v>
      </c>
      <c r="L95" s="903">
        <f t="shared" ref="L95" si="75">SUM(M95:X95)</f>
        <v>6300</v>
      </c>
      <c r="M95" s="903">
        <f t="shared" ref="M95:X95" si="76">(M78)</f>
        <v>0</v>
      </c>
      <c r="N95" s="903">
        <f t="shared" si="76"/>
        <v>0</v>
      </c>
      <c r="O95" s="903">
        <f t="shared" si="76"/>
        <v>0</v>
      </c>
      <c r="P95" s="903">
        <f t="shared" si="76"/>
        <v>0</v>
      </c>
      <c r="Q95" s="903">
        <f t="shared" si="76"/>
        <v>0</v>
      </c>
      <c r="R95" s="903">
        <f t="shared" si="76"/>
        <v>6300</v>
      </c>
      <c r="S95" s="903">
        <f t="shared" si="76"/>
        <v>0</v>
      </c>
      <c r="T95" s="903">
        <f t="shared" si="76"/>
        <v>0</v>
      </c>
      <c r="U95" s="903">
        <f t="shared" si="76"/>
        <v>0</v>
      </c>
      <c r="V95" s="903">
        <f t="shared" si="76"/>
        <v>0</v>
      </c>
      <c r="W95" s="903">
        <f t="shared" si="76"/>
        <v>0</v>
      </c>
      <c r="X95" s="903">
        <f t="shared" si="76"/>
        <v>0</v>
      </c>
    </row>
    <row r="96" spans="3:24" outlineLevel="1" collapsed="1">
      <c r="H96" s="101" t="s">
        <v>211</v>
      </c>
      <c r="J96" s="955"/>
      <c r="K96" s="901" t="s">
        <v>682</v>
      </c>
      <c r="L96" s="1443">
        <f>SUM(M96:X96)</f>
        <v>7350</v>
      </c>
      <c r="M96" s="907">
        <f>(M31+M47)</f>
        <v>950</v>
      </c>
      <c r="N96" s="907">
        <f t="shared" ref="N96:X96" si="77">(N31+N47)</f>
        <v>550</v>
      </c>
      <c r="O96" s="907">
        <f t="shared" si="77"/>
        <v>550</v>
      </c>
      <c r="P96" s="907">
        <f t="shared" si="77"/>
        <v>200</v>
      </c>
      <c r="Q96" s="907">
        <f t="shared" si="77"/>
        <v>600</v>
      </c>
      <c r="R96" s="907">
        <f t="shared" si="77"/>
        <v>600</v>
      </c>
      <c r="S96" s="907">
        <f t="shared" si="77"/>
        <v>650</v>
      </c>
      <c r="T96" s="907">
        <f t="shared" si="77"/>
        <v>650</v>
      </c>
      <c r="U96" s="907">
        <f t="shared" si="77"/>
        <v>650</v>
      </c>
      <c r="V96" s="907">
        <f t="shared" si="77"/>
        <v>650</v>
      </c>
      <c r="W96" s="907">
        <f t="shared" si="77"/>
        <v>650</v>
      </c>
      <c r="X96" s="907">
        <f t="shared" si="77"/>
        <v>650</v>
      </c>
    </row>
    <row r="97" spans="8:24" outlineLevel="1">
      <c r="H97" s="101" t="s">
        <v>211</v>
      </c>
      <c r="J97" s="955">
        <f>(J31)</f>
        <v>80.975000000000009</v>
      </c>
      <c r="K97" s="900" t="s">
        <v>569</v>
      </c>
      <c r="L97" s="903">
        <f t="shared" ref="L97:L125" si="78">SUM(M97:X97)</f>
        <v>548605</v>
      </c>
      <c r="M97" s="903">
        <f>(M33+M49)</f>
        <v>78850</v>
      </c>
      <c r="N97" s="903">
        <f t="shared" ref="N97:X97" si="79">(N33+N49)</f>
        <v>45650</v>
      </c>
      <c r="O97" s="903">
        <f t="shared" si="79"/>
        <v>45650</v>
      </c>
      <c r="P97" s="903">
        <f t="shared" si="79"/>
        <v>16600</v>
      </c>
      <c r="Q97" s="903">
        <f t="shared" si="79"/>
        <v>33200</v>
      </c>
      <c r="R97" s="903">
        <f t="shared" si="79"/>
        <v>49800</v>
      </c>
      <c r="S97" s="903">
        <f t="shared" si="79"/>
        <v>53950</v>
      </c>
      <c r="T97" s="903">
        <f t="shared" si="79"/>
        <v>53950</v>
      </c>
      <c r="U97" s="903">
        <f t="shared" si="79"/>
        <v>24900</v>
      </c>
      <c r="V97" s="903">
        <f t="shared" si="79"/>
        <v>49140</v>
      </c>
      <c r="W97" s="903">
        <f t="shared" si="79"/>
        <v>49140</v>
      </c>
      <c r="X97" s="903">
        <f t="shared" si="79"/>
        <v>47775</v>
      </c>
    </row>
    <row r="98" spans="8:24" hidden="1" outlineLevel="2">
      <c r="H98" s="101" t="s">
        <v>212</v>
      </c>
      <c r="J98" s="955"/>
      <c r="K98" s="901" t="s">
        <v>682</v>
      </c>
      <c r="L98" s="903"/>
      <c r="M98" s="903"/>
      <c r="N98" s="903"/>
      <c r="O98" s="903"/>
      <c r="P98" s="903"/>
      <c r="Q98" s="903"/>
      <c r="R98" s="903"/>
      <c r="S98" s="903"/>
      <c r="T98" s="903"/>
      <c r="U98" s="903"/>
      <c r="V98" s="903"/>
      <c r="W98" s="903"/>
      <c r="X98" s="903"/>
    </row>
    <row r="99" spans="8:24" hidden="1" outlineLevel="2">
      <c r="H99" s="101" t="s">
        <v>212</v>
      </c>
      <c r="J99" s="955">
        <f>(J79)</f>
        <v>13.568999999999999</v>
      </c>
      <c r="K99" s="900" t="s">
        <v>569</v>
      </c>
      <c r="L99" s="903">
        <f t="shared" ref="L99" si="80">SUM(M99:X99)</f>
        <v>203.535</v>
      </c>
      <c r="M99" s="903">
        <f t="shared" ref="M99:X99" si="81">(M81)</f>
        <v>0</v>
      </c>
      <c r="N99" s="903">
        <f t="shared" si="81"/>
        <v>0</v>
      </c>
      <c r="O99" s="903">
        <f t="shared" si="81"/>
        <v>0</v>
      </c>
      <c r="P99" s="903">
        <f t="shared" si="81"/>
        <v>0</v>
      </c>
      <c r="Q99" s="903">
        <f t="shared" si="81"/>
        <v>0</v>
      </c>
      <c r="R99" s="903">
        <f t="shared" si="81"/>
        <v>203.535</v>
      </c>
      <c r="S99" s="903">
        <f t="shared" si="81"/>
        <v>0</v>
      </c>
      <c r="T99" s="903">
        <f t="shared" si="81"/>
        <v>0</v>
      </c>
      <c r="U99" s="903">
        <f t="shared" si="81"/>
        <v>0</v>
      </c>
      <c r="V99" s="903">
        <f t="shared" si="81"/>
        <v>0</v>
      </c>
      <c r="W99" s="903">
        <f t="shared" si="81"/>
        <v>0</v>
      </c>
      <c r="X99" s="903">
        <f t="shared" si="81"/>
        <v>0</v>
      </c>
    </row>
    <row r="100" spans="8:24" outlineLevel="1" collapsed="1">
      <c r="H100" s="101" t="s">
        <v>507</v>
      </c>
      <c r="J100" s="955"/>
      <c r="K100" s="901" t="s">
        <v>682</v>
      </c>
      <c r="L100" s="1443">
        <f>SUM(M100:X100)</f>
        <v>4296</v>
      </c>
      <c r="M100" s="907">
        <f>(M28+M44)</f>
        <v>504</v>
      </c>
      <c r="N100" s="907">
        <f>(N28+N44)</f>
        <v>372</v>
      </c>
      <c r="O100" s="907">
        <f>(O28+O44)</f>
        <v>264</v>
      </c>
      <c r="P100" s="907">
        <f>(P28+P44)</f>
        <v>132</v>
      </c>
      <c r="Q100" s="907">
        <f t="shared" ref="Q100:X100" si="82">(Q28+Q44)</f>
        <v>336</v>
      </c>
      <c r="R100" s="907">
        <f t="shared" si="82"/>
        <v>348</v>
      </c>
      <c r="S100" s="907">
        <f t="shared" si="82"/>
        <v>396</v>
      </c>
      <c r="T100" s="907">
        <f t="shared" si="82"/>
        <v>384</v>
      </c>
      <c r="U100" s="907">
        <f t="shared" si="82"/>
        <v>396</v>
      </c>
      <c r="V100" s="907">
        <f t="shared" si="82"/>
        <v>384</v>
      </c>
      <c r="W100" s="907">
        <f t="shared" si="82"/>
        <v>396</v>
      </c>
      <c r="X100" s="907">
        <f t="shared" si="82"/>
        <v>384</v>
      </c>
    </row>
    <row r="101" spans="8:24" outlineLevel="1">
      <c r="H101" s="101" t="s">
        <v>507</v>
      </c>
      <c r="J101" s="955">
        <f>(J44)</f>
        <v>83.977075303526561</v>
      </c>
      <c r="K101" s="900" t="s">
        <v>569</v>
      </c>
      <c r="L101" s="903">
        <f t="shared" si="78"/>
        <v>327093.04669927346</v>
      </c>
      <c r="M101" s="903">
        <f t="shared" ref="M101:X101" si="83">(M30+M46)</f>
        <v>45157.320655316522</v>
      </c>
      <c r="N101" s="903">
        <f t="shared" si="83"/>
        <v>32638.192895666722</v>
      </c>
      <c r="O101" s="903">
        <f t="shared" si="83"/>
        <v>22872.152650176668</v>
      </c>
      <c r="P101" s="903">
        <f t="shared" si="83"/>
        <v>11249.03619945034</v>
      </c>
      <c r="Q101" s="903">
        <f t="shared" si="83"/>
        <v>16055.562608416294</v>
      </c>
      <c r="R101" s="903">
        <f t="shared" si="83"/>
        <v>28313.42756183746</v>
      </c>
      <c r="S101" s="903">
        <f t="shared" si="83"/>
        <v>31575.981423523437</v>
      </c>
      <c r="T101" s="903">
        <f t="shared" si="83"/>
        <v>30699.241542479605</v>
      </c>
      <c r="U101" s="903">
        <f t="shared" si="83"/>
        <v>11726.305502271569</v>
      </c>
      <c r="V101" s="903">
        <f t="shared" si="83"/>
        <v>32663.001349180791</v>
      </c>
      <c r="W101" s="903">
        <f t="shared" si="83"/>
        <v>32482.046925795054</v>
      </c>
      <c r="X101" s="903">
        <f t="shared" si="83"/>
        <v>31660.777385159014</v>
      </c>
    </row>
    <row r="102" spans="8:24" hidden="1" outlineLevel="2">
      <c r="H102" s="101" t="s">
        <v>270</v>
      </c>
      <c r="J102" s="955"/>
      <c r="K102" s="901" t="s">
        <v>682</v>
      </c>
      <c r="L102" s="1443">
        <f t="shared" ref="L102" si="84">SUM(M102:X102)</f>
        <v>0</v>
      </c>
      <c r="M102" s="907"/>
      <c r="N102" s="907"/>
      <c r="O102" s="907"/>
      <c r="P102" s="907"/>
      <c r="Q102" s="907"/>
      <c r="R102" s="907"/>
      <c r="S102" s="907"/>
      <c r="T102" s="907"/>
      <c r="U102" s="907"/>
      <c r="V102" s="907"/>
      <c r="W102" s="907"/>
      <c r="X102" s="907"/>
    </row>
    <row r="103" spans="8:24" hidden="1" outlineLevel="2">
      <c r="H103" s="101" t="s">
        <v>270</v>
      </c>
      <c r="J103" s="953">
        <f>(J57)</f>
        <v>285</v>
      </c>
      <c r="K103" s="900" t="s">
        <v>569</v>
      </c>
      <c r="L103" s="903">
        <f t="shared" si="78"/>
        <v>0</v>
      </c>
      <c r="M103" s="903">
        <f t="shared" ref="M103:X103" si="85">(M59)</f>
        <v>0</v>
      </c>
      <c r="N103" s="903">
        <f t="shared" si="85"/>
        <v>0</v>
      </c>
      <c r="O103" s="903">
        <f t="shared" si="85"/>
        <v>0</v>
      </c>
      <c r="P103" s="903">
        <f t="shared" si="85"/>
        <v>0</v>
      </c>
      <c r="Q103" s="903">
        <f t="shared" si="85"/>
        <v>0</v>
      </c>
      <c r="R103" s="903">
        <f t="shared" si="85"/>
        <v>0</v>
      </c>
      <c r="S103" s="903">
        <f t="shared" si="85"/>
        <v>0</v>
      </c>
      <c r="T103" s="903">
        <f t="shared" si="85"/>
        <v>0</v>
      </c>
      <c r="U103" s="903">
        <f t="shared" si="85"/>
        <v>0</v>
      </c>
      <c r="V103" s="903">
        <f t="shared" si="85"/>
        <v>0</v>
      </c>
      <c r="W103" s="903">
        <f t="shared" si="85"/>
        <v>0</v>
      </c>
      <c r="X103" s="903">
        <f t="shared" si="85"/>
        <v>0</v>
      </c>
    </row>
    <row r="104" spans="8:24" hidden="1" outlineLevel="2">
      <c r="H104" s="101" t="s">
        <v>271</v>
      </c>
      <c r="J104" s="953"/>
      <c r="K104" s="901" t="s">
        <v>682</v>
      </c>
      <c r="L104" s="1442">
        <f t="shared" si="78"/>
        <v>0</v>
      </c>
      <c r="M104" s="903"/>
      <c r="N104" s="903"/>
      <c r="O104" s="903"/>
      <c r="P104" s="903"/>
      <c r="Q104" s="903"/>
      <c r="R104" s="903"/>
      <c r="S104" s="903"/>
      <c r="T104" s="903"/>
      <c r="U104" s="903"/>
      <c r="V104" s="903"/>
      <c r="W104" s="903"/>
      <c r="X104" s="903"/>
    </row>
    <row r="105" spans="8:24" hidden="1" outlineLevel="2">
      <c r="H105" s="101" t="s">
        <v>271</v>
      </c>
      <c r="J105" s="953">
        <f>(J60)</f>
        <v>285</v>
      </c>
      <c r="K105" s="900" t="s">
        <v>569</v>
      </c>
      <c r="L105" s="903">
        <f t="shared" si="78"/>
        <v>0</v>
      </c>
      <c r="M105" s="903">
        <f t="shared" ref="M105:X105" si="86">(M62)</f>
        <v>0</v>
      </c>
      <c r="N105" s="903">
        <f t="shared" si="86"/>
        <v>0</v>
      </c>
      <c r="O105" s="903">
        <f t="shared" si="86"/>
        <v>0</v>
      </c>
      <c r="P105" s="903">
        <f t="shared" si="86"/>
        <v>0</v>
      </c>
      <c r="Q105" s="903">
        <f t="shared" si="86"/>
        <v>0</v>
      </c>
      <c r="R105" s="903">
        <f t="shared" si="86"/>
        <v>0</v>
      </c>
      <c r="S105" s="903">
        <f t="shared" si="86"/>
        <v>0</v>
      </c>
      <c r="T105" s="903">
        <f t="shared" si="86"/>
        <v>0</v>
      </c>
      <c r="U105" s="903">
        <f t="shared" si="86"/>
        <v>0</v>
      </c>
      <c r="V105" s="903">
        <f t="shared" si="86"/>
        <v>0</v>
      </c>
      <c r="W105" s="903">
        <f t="shared" si="86"/>
        <v>0</v>
      </c>
      <c r="X105" s="903">
        <f t="shared" si="86"/>
        <v>0</v>
      </c>
    </row>
    <row r="106" spans="8:24" hidden="1" outlineLevel="2">
      <c r="H106" s="101" t="s">
        <v>272</v>
      </c>
      <c r="J106" s="953"/>
      <c r="K106" s="901" t="s">
        <v>682</v>
      </c>
      <c r="L106" s="1442">
        <f t="shared" si="78"/>
        <v>0</v>
      </c>
      <c r="M106" s="903"/>
      <c r="N106" s="903"/>
      <c r="O106" s="903"/>
      <c r="P106" s="903"/>
      <c r="Q106" s="903"/>
      <c r="R106" s="903"/>
      <c r="S106" s="903"/>
      <c r="T106" s="903"/>
      <c r="U106" s="903"/>
      <c r="V106" s="903"/>
      <c r="W106" s="903"/>
      <c r="X106" s="903"/>
    </row>
    <row r="107" spans="8:24" hidden="1" outlineLevel="2">
      <c r="H107" s="101" t="s">
        <v>272</v>
      </c>
      <c r="J107" s="953">
        <f>(J63)</f>
        <v>285</v>
      </c>
      <c r="K107" s="900" t="s">
        <v>569</v>
      </c>
      <c r="L107" s="903">
        <f t="shared" si="78"/>
        <v>0</v>
      </c>
      <c r="M107" s="903">
        <f t="shared" ref="M107:X107" si="87">(M65)</f>
        <v>0</v>
      </c>
      <c r="N107" s="903">
        <f t="shared" si="87"/>
        <v>0</v>
      </c>
      <c r="O107" s="903">
        <f t="shared" si="87"/>
        <v>0</v>
      </c>
      <c r="P107" s="903">
        <f t="shared" si="87"/>
        <v>0</v>
      </c>
      <c r="Q107" s="903">
        <f t="shared" si="87"/>
        <v>0</v>
      </c>
      <c r="R107" s="903">
        <f t="shared" si="87"/>
        <v>0</v>
      </c>
      <c r="S107" s="903">
        <f t="shared" si="87"/>
        <v>0</v>
      </c>
      <c r="T107" s="903">
        <f t="shared" si="87"/>
        <v>0</v>
      </c>
      <c r="U107" s="903">
        <f t="shared" si="87"/>
        <v>0</v>
      </c>
      <c r="V107" s="903">
        <f t="shared" si="87"/>
        <v>0</v>
      </c>
      <c r="W107" s="903">
        <f t="shared" si="87"/>
        <v>0</v>
      </c>
      <c r="X107" s="903">
        <f t="shared" si="87"/>
        <v>0</v>
      </c>
    </row>
    <row r="108" spans="8:24" hidden="1" outlineLevel="2">
      <c r="H108" s="101" t="s">
        <v>216</v>
      </c>
      <c r="J108" s="953"/>
      <c r="K108" s="901" t="s">
        <v>682</v>
      </c>
      <c r="L108" s="1442">
        <f t="shared" si="78"/>
        <v>0</v>
      </c>
      <c r="M108" s="903"/>
      <c r="N108" s="903"/>
      <c r="O108" s="903"/>
      <c r="P108" s="903"/>
      <c r="Q108" s="903"/>
      <c r="R108" s="903"/>
      <c r="S108" s="903"/>
      <c r="T108" s="903"/>
      <c r="U108" s="903"/>
      <c r="V108" s="903"/>
      <c r="W108" s="903"/>
      <c r="X108" s="903"/>
    </row>
    <row r="109" spans="8:24" hidden="1" outlineLevel="2">
      <c r="H109" s="101" t="s">
        <v>216</v>
      </c>
      <c r="J109" s="955">
        <f>(J73)</f>
        <v>37</v>
      </c>
      <c r="K109" s="900" t="s">
        <v>569</v>
      </c>
      <c r="L109" s="903">
        <f t="shared" si="78"/>
        <v>11100</v>
      </c>
      <c r="M109" s="903">
        <f t="shared" ref="M109:X109" si="88">(M75)</f>
        <v>0</v>
      </c>
      <c r="N109" s="903">
        <f t="shared" si="88"/>
        <v>0</v>
      </c>
      <c r="O109" s="903">
        <f t="shared" si="88"/>
        <v>0</v>
      </c>
      <c r="P109" s="903">
        <f t="shared" si="88"/>
        <v>0</v>
      </c>
      <c r="Q109" s="903">
        <f t="shared" si="88"/>
        <v>0</v>
      </c>
      <c r="R109" s="903">
        <f t="shared" si="88"/>
        <v>11100</v>
      </c>
      <c r="S109" s="903">
        <f t="shared" si="88"/>
        <v>0</v>
      </c>
      <c r="T109" s="903">
        <f t="shared" si="88"/>
        <v>0</v>
      </c>
      <c r="U109" s="903">
        <f t="shared" si="88"/>
        <v>0</v>
      </c>
      <c r="V109" s="903">
        <f t="shared" si="88"/>
        <v>0</v>
      </c>
      <c r="W109" s="903">
        <f t="shared" si="88"/>
        <v>0</v>
      </c>
      <c r="X109" s="903">
        <f t="shared" si="88"/>
        <v>0</v>
      </c>
    </row>
    <row r="110" spans="8:24" outlineLevel="1" collapsed="1">
      <c r="H110" s="101" t="s">
        <v>220</v>
      </c>
      <c r="J110" s="955"/>
      <c r="K110" s="901" t="s">
        <v>682</v>
      </c>
      <c r="L110" s="1444">
        <f>SUM(M110:X110)</f>
        <v>1771</v>
      </c>
      <c r="M110" s="907">
        <f>(M16+M38)</f>
        <v>199</v>
      </c>
      <c r="N110" s="907">
        <f t="shared" ref="N110:X110" si="89">(N16+N38)</f>
        <v>162</v>
      </c>
      <c r="O110" s="907">
        <f t="shared" si="89"/>
        <v>99</v>
      </c>
      <c r="P110" s="907">
        <f>(P16+P38)</f>
        <v>57</v>
      </c>
      <c r="Q110" s="907">
        <f t="shared" si="89"/>
        <v>136</v>
      </c>
      <c r="R110" s="907">
        <f t="shared" si="89"/>
        <v>143</v>
      </c>
      <c r="S110" s="907">
        <f t="shared" si="89"/>
        <v>166</v>
      </c>
      <c r="T110" s="907">
        <f t="shared" si="89"/>
        <v>159</v>
      </c>
      <c r="U110" s="907">
        <f t="shared" si="89"/>
        <v>166</v>
      </c>
      <c r="V110" s="907">
        <f t="shared" si="89"/>
        <v>159</v>
      </c>
      <c r="W110" s="907">
        <f t="shared" si="89"/>
        <v>166</v>
      </c>
      <c r="X110" s="907">
        <f t="shared" si="89"/>
        <v>159</v>
      </c>
    </row>
    <row r="111" spans="8:24" outlineLevel="1">
      <c r="H111" s="101" t="s">
        <v>220</v>
      </c>
      <c r="J111" s="955">
        <f>(J38)</f>
        <v>268.81299540072416</v>
      </c>
      <c r="K111" s="900" t="s">
        <v>569</v>
      </c>
      <c r="L111" s="903">
        <f t="shared" si="78"/>
        <v>453264.04736275569</v>
      </c>
      <c r="M111" s="903">
        <f>(M18+M40)</f>
        <v>44791.065662002147</v>
      </c>
      <c r="N111" s="903">
        <f>(N18+N40)</f>
        <v>36463.078579117326</v>
      </c>
      <c r="O111" s="903">
        <f>(O18+O40)</f>
        <v>22282.992465016145</v>
      </c>
      <c r="P111" s="903">
        <f>(P18+P40)</f>
        <v>12829.601722282023</v>
      </c>
      <c r="Q111" s="903">
        <f t="shared" ref="Q111:X111" si="90">(Q18+Q40)</f>
        <v>30610.979547900966</v>
      </c>
      <c r="R111" s="903">
        <f t="shared" si="90"/>
        <v>32186.54467168999</v>
      </c>
      <c r="S111" s="903">
        <f t="shared" si="90"/>
        <v>117218.51453175457</v>
      </c>
      <c r="T111" s="903">
        <f t="shared" si="90"/>
        <v>35787.836383207745</v>
      </c>
      <c r="U111" s="903">
        <f t="shared" si="90"/>
        <v>12154.359526372442</v>
      </c>
      <c r="V111" s="903">
        <f t="shared" si="90"/>
        <v>35787.836383207745</v>
      </c>
      <c r="W111" s="903">
        <f t="shared" si="90"/>
        <v>37363.401506996765</v>
      </c>
      <c r="X111" s="903">
        <f t="shared" si="90"/>
        <v>35787.836383207745</v>
      </c>
    </row>
    <row r="112" spans="8:24" outlineLevel="1">
      <c r="H112" s="101" t="s">
        <v>221</v>
      </c>
      <c r="J112" s="955"/>
      <c r="K112" s="901" t="s">
        <v>682</v>
      </c>
      <c r="L112" s="1444">
        <f>SUM(M112:X112)</f>
        <v>747</v>
      </c>
      <c r="M112" s="907">
        <f>(M22)</f>
        <v>135</v>
      </c>
      <c r="N112" s="907">
        <f t="shared" ref="N112:X112" si="91">(N22)</f>
        <v>18</v>
      </c>
      <c r="O112" s="907">
        <f t="shared" si="91"/>
        <v>99</v>
      </c>
      <c r="P112" s="907">
        <f>(P22)</f>
        <v>9</v>
      </c>
      <c r="Q112" s="907">
        <f t="shared" si="91"/>
        <v>72</v>
      </c>
      <c r="R112" s="907">
        <f t="shared" si="91"/>
        <v>63</v>
      </c>
      <c r="S112" s="907">
        <f t="shared" si="91"/>
        <v>54</v>
      </c>
      <c r="T112" s="907">
        <f t="shared" si="91"/>
        <v>63</v>
      </c>
      <c r="U112" s="907">
        <f t="shared" si="91"/>
        <v>54</v>
      </c>
      <c r="V112" s="907">
        <f t="shared" si="91"/>
        <v>63</v>
      </c>
      <c r="W112" s="907">
        <f t="shared" si="91"/>
        <v>54</v>
      </c>
      <c r="X112" s="907">
        <f t="shared" si="91"/>
        <v>63</v>
      </c>
    </row>
    <row r="113" spans="6:24" outlineLevel="1">
      <c r="H113" s="101" t="s">
        <v>221</v>
      </c>
      <c r="J113" s="955">
        <f>(J22)</f>
        <v>234.60131396957124</v>
      </c>
      <c r="K113" s="900" t="s">
        <v>569</v>
      </c>
      <c r="L113" s="903">
        <f t="shared" si="78"/>
        <v>168554.65145228215</v>
      </c>
      <c r="M113" s="903">
        <f t="shared" ref="M113:X113" si="92">(M24)</f>
        <v>22545</v>
      </c>
      <c r="N113" s="903">
        <f t="shared" si="92"/>
        <v>3006</v>
      </c>
      <c r="O113" s="903">
        <f t="shared" si="92"/>
        <v>16533</v>
      </c>
      <c r="P113" s="903">
        <f t="shared" si="92"/>
        <v>1503</v>
      </c>
      <c r="Q113" s="903">
        <f t="shared" si="92"/>
        <v>12024</v>
      </c>
      <c r="R113" s="903">
        <f t="shared" si="92"/>
        <v>10521</v>
      </c>
      <c r="S113" s="903">
        <f t="shared" si="92"/>
        <v>52823.65145228216</v>
      </c>
      <c r="T113" s="903">
        <f t="shared" si="92"/>
        <v>10521</v>
      </c>
      <c r="U113" s="903">
        <f t="shared" si="92"/>
        <v>9018</v>
      </c>
      <c r="V113" s="903">
        <f t="shared" si="92"/>
        <v>10521</v>
      </c>
      <c r="W113" s="903">
        <f t="shared" si="92"/>
        <v>9018</v>
      </c>
      <c r="X113" s="903">
        <f t="shared" si="92"/>
        <v>10521</v>
      </c>
    </row>
    <row r="114" spans="6:24" outlineLevel="1">
      <c r="H114" s="101" t="s">
        <v>222</v>
      </c>
      <c r="J114" s="955"/>
      <c r="K114" s="901" t="s">
        <v>682</v>
      </c>
      <c r="L114" s="1444">
        <f>SUM(M114:X114)</f>
        <v>1024</v>
      </c>
      <c r="M114" s="907">
        <f>(M41)</f>
        <v>64</v>
      </c>
      <c r="N114" s="907">
        <f t="shared" ref="N114:X114" si="93">(N41)</f>
        <v>144</v>
      </c>
      <c r="O114" s="907">
        <f>(O41)</f>
        <v>0</v>
      </c>
      <c r="P114" s="907">
        <f t="shared" si="93"/>
        <v>48</v>
      </c>
      <c r="Q114" s="907">
        <f t="shared" si="93"/>
        <v>64</v>
      </c>
      <c r="R114" s="907">
        <f t="shared" si="93"/>
        <v>80</v>
      </c>
      <c r="S114" s="907">
        <f t="shared" si="93"/>
        <v>112</v>
      </c>
      <c r="T114" s="907">
        <f t="shared" si="93"/>
        <v>96</v>
      </c>
      <c r="U114" s="907">
        <f t="shared" si="93"/>
        <v>112</v>
      </c>
      <c r="V114" s="907">
        <f t="shared" si="93"/>
        <v>96</v>
      </c>
      <c r="W114" s="907">
        <f t="shared" si="93"/>
        <v>112</v>
      </c>
      <c r="X114" s="907">
        <f t="shared" si="93"/>
        <v>96</v>
      </c>
    </row>
    <row r="115" spans="6:24" outlineLevel="1">
      <c r="H115" s="101" t="s">
        <v>222</v>
      </c>
      <c r="J115" s="955">
        <f>(J41)</f>
        <v>1050</v>
      </c>
      <c r="K115" s="900" t="s">
        <v>569</v>
      </c>
      <c r="L115" s="903">
        <f t="shared" si="78"/>
        <v>957600</v>
      </c>
      <c r="M115" s="903">
        <f t="shared" ref="M115:X115" si="94">(M43)</f>
        <v>67200</v>
      </c>
      <c r="N115" s="903">
        <f t="shared" si="94"/>
        <v>151200</v>
      </c>
      <c r="O115" s="903">
        <f t="shared" si="94"/>
        <v>0</v>
      </c>
      <c r="P115" s="903">
        <f t="shared" si="94"/>
        <v>50400</v>
      </c>
      <c r="Q115" s="903">
        <f t="shared" si="94"/>
        <v>67200</v>
      </c>
      <c r="R115" s="903">
        <f t="shared" si="94"/>
        <v>84000</v>
      </c>
      <c r="S115" s="903">
        <f t="shared" si="94"/>
        <v>117600</v>
      </c>
      <c r="T115" s="903">
        <f t="shared" si="94"/>
        <v>100800</v>
      </c>
      <c r="U115" s="903">
        <f t="shared" si="94"/>
        <v>0</v>
      </c>
      <c r="V115" s="903">
        <f t="shared" si="94"/>
        <v>100800</v>
      </c>
      <c r="W115" s="903">
        <f t="shared" si="94"/>
        <v>117600</v>
      </c>
      <c r="X115" s="903">
        <f t="shared" si="94"/>
        <v>100800</v>
      </c>
    </row>
    <row r="116" spans="6:24" outlineLevel="1">
      <c r="H116" s="101" t="s">
        <v>223</v>
      </c>
      <c r="J116" s="955"/>
      <c r="K116" s="901" t="s">
        <v>682</v>
      </c>
      <c r="L116" s="1444">
        <f>SUM(M116:X116)</f>
        <v>747</v>
      </c>
      <c r="M116" s="907">
        <f>(M19)</f>
        <v>135</v>
      </c>
      <c r="N116" s="907">
        <f t="shared" ref="N116:X116" si="95">(N19)</f>
        <v>18</v>
      </c>
      <c r="O116" s="907">
        <f t="shared" si="95"/>
        <v>99</v>
      </c>
      <c r="P116" s="907">
        <f t="shared" si="95"/>
        <v>9</v>
      </c>
      <c r="Q116" s="907">
        <f t="shared" si="95"/>
        <v>72</v>
      </c>
      <c r="R116" s="907">
        <f t="shared" si="95"/>
        <v>63</v>
      </c>
      <c r="S116" s="907">
        <f t="shared" si="95"/>
        <v>54</v>
      </c>
      <c r="T116" s="907">
        <f t="shared" si="95"/>
        <v>63</v>
      </c>
      <c r="U116" s="907">
        <f t="shared" si="95"/>
        <v>54</v>
      </c>
      <c r="V116" s="907">
        <f t="shared" si="95"/>
        <v>63</v>
      </c>
      <c r="W116" s="907">
        <f t="shared" si="95"/>
        <v>54</v>
      </c>
      <c r="X116" s="907">
        <f t="shared" si="95"/>
        <v>63</v>
      </c>
    </row>
    <row r="117" spans="6:24" outlineLevel="1">
      <c r="H117" s="101" t="s">
        <v>223</v>
      </c>
      <c r="J117" s="955">
        <f>(J19)</f>
        <v>437.5400213447171</v>
      </c>
      <c r="K117" s="900" t="s">
        <v>569</v>
      </c>
      <c r="L117" s="903">
        <f t="shared" si="78"/>
        <v>327235.96584845253</v>
      </c>
      <c r="M117" s="903">
        <f t="shared" ref="M117:X117" si="96">(M21)</f>
        <v>53164.354322305226</v>
      </c>
      <c r="N117" s="903">
        <f t="shared" si="96"/>
        <v>7088.5805763073631</v>
      </c>
      <c r="O117" s="903">
        <f t="shared" si="96"/>
        <v>38987.193169690501</v>
      </c>
      <c r="P117" s="903">
        <f t="shared" si="96"/>
        <v>3544.2902881536816</v>
      </c>
      <c r="Q117" s="903">
        <f t="shared" si="96"/>
        <v>28354.322305229452</v>
      </c>
      <c r="R117" s="903">
        <f t="shared" si="96"/>
        <v>24810.032017075773</v>
      </c>
      <c r="S117" s="903">
        <f t="shared" si="96"/>
        <v>21265.74172892209</v>
      </c>
      <c r="T117" s="903">
        <f t="shared" si="96"/>
        <v>24810.032017075773</v>
      </c>
      <c r="U117" s="903">
        <f t="shared" si="96"/>
        <v>21265.74172892209</v>
      </c>
      <c r="V117" s="903">
        <f t="shared" si="96"/>
        <v>24810.032017075773</v>
      </c>
      <c r="W117" s="903">
        <f t="shared" si="96"/>
        <v>21265.74172892209</v>
      </c>
      <c r="X117" s="903">
        <f t="shared" si="96"/>
        <v>57869.903948772677</v>
      </c>
    </row>
    <row r="118" spans="6:24" outlineLevel="1">
      <c r="H118" s="101" t="s">
        <v>224</v>
      </c>
      <c r="J118" s="955"/>
      <c r="K118" s="901" t="s">
        <v>682</v>
      </c>
      <c r="L118" s="1444">
        <f>SUM(M118:X118)</f>
        <v>664</v>
      </c>
      <c r="M118" s="907">
        <f>(M13)</f>
        <v>120</v>
      </c>
      <c r="N118" s="907">
        <f t="shared" ref="N118:X118" si="97">(N13)</f>
        <v>16</v>
      </c>
      <c r="O118" s="907">
        <f t="shared" si="97"/>
        <v>88</v>
      </c>
      <c r="P118" s="907">
        <f t="shared" si="97"/>
        <v>8</v>
      </c>
      <c r="Q118" s="907">
        <f t="shared" si="97"/>
        <v>64</v>
      </c>
      <c r="R118" s="907">
        <f t="shared" si="97"/>
        <v>56</v>
      </c>
      <c r="S118" s="907">
        <f t="shared" si="97"/>
        <v>48</v>
      </c>
      <c r="T118" s="907">
        <f t="shared" si="97"/>
        <v>56</v>
      </c>
      <c r="U118" s="907">
        <f t="shared" si="97"/>
        <v>48</v>
      </c>
      <c r="V118" s="907">
        <f t="shared" si="97"/>
        <v>56</v>
      </c>
      <c r="W118" s="907">
        <f t="shared" si="97"/>
        <v>48</v>
      </c>
      <c r="X118" s="907">
        <f t="shared" si="97"/>
        <v>56</v>
      </c>
    </row>
    <row r="119" spans="6:24" outlineLevel="1">
      <c r="H119" s="101" t="s">
        <v>224</v>
      </c>
      <c r="J119" s="955">
        <f>(J13)</f>
        <v>453.71845124282981</v>
      </c>
      <c r="K119" s="900" t="s">
        <v>569</v>
      </c>
      <c r="L119" s="903">
        <f t="shared" si="78"/>
        <v>301371.07456978969</v>
      </c>
      <c r="M119" s="903">
        <f t="shared" ref="M119:X119" si="98">(M15)</f>
        <v>52915.869980879535</v>
      </c>
      <c r="N119" s="903">
        <f t="shared" si="98"/>
        <v>7055.4493307839384</v>
      </c>
      <c r="O119" s="903">
        <f t="shared" si="98"/>
        <v>38804.971319311662</v>
      </c>
      <c r="P119" s="903">
        <f t="shared" si="98"/>
        <v>3527.7246653919692</v>
      </c>
      <c r="Q119" s="903">
        <f t="shared" si="98"/>
        <v>28221.797323135754</v>
      </c>
      <c r="R119" s="903">
        <f t="shared" si="98"/>
        <v>24694.072657743785</v>
      </c>
      <c r="S119" s="903">
        <f t="shared" si="98"/>
        <v>21166.347992351817</v>
      </c>
      <c r="T119" s="903">
        <f t="shared" si="98"/>
        <v>24694.072657743785</v>
      </c>
      <c r="U119" s="903">
        <f t="shared" si="98"/>
        <v>21166.347992351817</v>
      </c>
      <c r="V119" s="903">
        <f t="shared" si="98"/>
        <v>24694.072657743785</v>
      </c>
      <c r="W119" s="903">
        <f t="shared" si="98"/>
        <v>21166.347992351817</v>
      </c>
      <c r="X119" s="903">
        <f t="shared" si="98"/>
        <v>33264</v>
      </c>
    </row>
    <row r="120" spans="6:24" outlineLevel="1">
      <c r="H120" s="101" t="s">
        <v>226</v>
      </c>
      <c r="J120" s="955"/>
      <c r="K120" s="901" t="s">
        <v>682</v>
      </c>
      <c r="L120" s="1444">
        <f>SUM(M120:X120)</f>
        <v>747</v>
      </c>
      <c r="M120" s="907">
        <f>(M25)</f>
        <v>135</v>
      </c>
      <c r="N120" s="907">
        <f t="shared" ref="N120:X120" si="99">(N25)</f>
        <v>18</v>
      </c>
      <c r="O120" s="907">
        <f t="shared" si="99"/>
        <v>99</v>
      </c>
      <c r="P120" s="907">
        <f t="shared" si="99"/>
        <v>9</v>
      </c>
      <c r="Q120" s="907">
        <f t="shared" si="99"/>
        <v>72</v>
      </c>
      <c r="R120" s="907">
        <f t="shared" si="99"/>
        <v>63</v>
      </c>
      <c r="S120" s="907">
        <f t="shared" si="99"/>
        <v>54</v>
      </c>
      <c r="T120" s="907">
        <f t="shared" si="99"/>
        <v>63</v>
      </c>
      <c r="U120" s="907">
        <f t="shared" si="99"/>
        <v>54</v>
      </c>
      <c r="V120" s="907">
        <f t="shared" si="99"/>
        <v>63</v>
      </c>
      <c r="W120" s="907">
        <f t="shared" si="99"/>
        <v>54</v>
      </c>
      <c r="X120" s="907">
        <f t="shared" si="99"/>
        <v>63</v>
      </c>
    </row>
    <row r="121" spans="6:24" outlineLevel="1">
      <c r="H121" s="101" t="s">
        <v>226</v>
      </c>
      <c r="J121" s="955">
        <f>(J25)</f>
        <v>1840.6107112890923</v>
      </c>
      <c r="K121" s="900" t="s">
        <v>569</v>
      </c>
      <c r="L121" s="903">
        <f t="shared" si="78"/>
        <v>1374930.4734782609</v>
      </c>
      <c r="M121" s="903">
        <f t="shared" ref="M121:X121" si="100">(M27)</f>
        <v>248568.36384439361</v>
      </c>
      <c r="N121" s="903">
        <f t="shared" si="100"/>
        <v>33142.448512585812</v>
      </c>
      <c r="O121" s="903">
        <f t="shared" si="100"/>
        <v>182283.46681922197</v>
      </c>
      <c r="P121" s="903">
        <f t="shared" si="100"/>
        <v>16571.224256292906</v>
      </c>
      <c r="Q121" s="903">
        <f t="shared" si="100"/>
        <v>132569.79405034325</v>
      </c>
      <c r="R121" s="903">
        <f t="shared" si="100"/>
        <v>115998.56979405035</v>
      </c>
      <c r="S121" s="903">
        <f t="shared" si="100"/>
        <v>99427.345537757443</v>
      </c>
      <c r="T121" s="903">
        <f t="shared" si="100"/>
        <v>115998.56979405035</v>
      </c>
      <c r="U121" s="903">
        <f t="shared" si="100"/>
        <v>99427.345537757443</v>
      </c>
      <c r="V121" s="903">
        <f t="shared" si="100"/>
        <v>115998.56979405035</v>
      </c>
      <c r="W121" s="903">
        <f t="shared" si="100"/>
        <v>99427.345537757443</v>
      </c>
      <c r="X121" s="903">
        <f t="shared" si="100"/>
        <v>115517.43</v>
      </c>
    </row>
    <row r="122" spans="6:24" hidden="1" outlineLevel="2">
      <c r="H122" s="101" t="s">
        <v>228</v>
      </c>
      <c r="J122" s="955"/>
      <c r="K122" s="901" t="s">
        <v>682</v>
      </c>
      <c r="L122" s="1442">
        <f t="shared" si="78"/>
        <v>0</v>
      </c>
      <c r="M122" s="903"/>
      <c r="N122" s="903"/>
      <c r="O122" s="903"/>
      <c r="P122" s="903"/>
      <c r="Q122" s="903"/>
      <c r="R122" s="903"/>
      <c r="S122" s="903"/>
      <c r="T122" s="903"/>
      <c r="U122" s="903"/>
      <c r="V122" s="903"/>
      <c r="W122" s="903"/>
      <c r="X122" s="903"/>
    </row>
    <row r="123" spans="6:24" hidden="1" outlineLevel="2">
      <c r="H123" s="101" t="s">
        <v>228</v>
      </c>
      <c r="J123" s="955">
        <f>(J82)</f>
        <v>1.5149999999999999</v>
      </c>
      <c r="K123" s="900" t="s">
        <v>569</v>
      </c>
      <c r="L123" s="903">
        <f t="shared" si="78"/>
        <v>34.087499999999999</v>
      </c>
      <c r="M123" s="903">
        <f t="shared" ref="M123:X123" si="101">(M84)</f>
        <v>0</v>
      </c>
      <c r="N123" s="903">
        <f t="shared" si="101"/>
        <v>0</v>
      </c>
      <c r="O123" s="903">
        <f t="shared" si="101"/>
        <v>0</v>
      </c>
      <c r="P123" s="903">
        <f t="shared" si="101"/>
        <v>0</v>
      </c>
      <c r="Q123" s="903">
        <f t="shared" si="101"/>
        <v>0</v>
      </c>
      <c r="R123" s="903">
        <f t="shared" si="101"/>
        <v>34.087499999999999</v>
      </c>
      <c r="S123" s="903">
        <f t="shared" si="101"/>
        <v>0</v>
      </c>
      <c r="T123" s="903">
        <f t="shared" si="101"/>
        <v>0</v>
      </c>
      <c r="U123" s="903">
        <f t="shared" si="101"/>
        <v>0</v>
      </c>
      <c r="V123" s="903">
        <f t="shared" si="101"/>
        <v>0</v>
      </c>
      <c r="W123" s="903">
        <f t="shared" si="101"/>
        <v>0</v>
      </c>
      <c r="X123" s="903">
        <f t="shared" si="101"/>
        <v>0</v>
      </c>
    </row>
    <row r="124" spans="6:24" hidden="1" outlineLevel="2">
      <c r="H124" s="101" t="s">
        <v>269</v>
      </c>
      <c r="J124" s="955"/>
      <c r="K124" s="901" t="s">
        <v>682</v>
      </c>
      <c r="L124" s="1442">
        <f t="shared" si="78"/>
        <v>0</v>
      </c>
      <c r="M124" s="903"/>
      <c r="N124" s="903"/>
      <c r="O124" s="903"/>
      <c r="P124" s="903"/>
      <c r="Q124" s="903"/>
      <c r="R124" s="903"/>
      <c r="S124" s="903"/>
      <c r="T124" s="903"/>
      <c r="U124" s="903"/>
      <c r="V124" s="903"/>
      <c r="W124" s="903"/>
      <c r="X124" s="903"/>
    </row>
    <row r="125" spans="6:24" hidden="1" outlineLevel="2">
      <c r="H125" s="101" t="s">
        <v>269</v>
      </c>
      <c r="J125" s="955">
        <f>(J54)</f>
        <v>6.04</v>
      </c>
      <c r="K125" s="900" t="s">
        <v>569</v>
      </c>
      <c r="L125" s="903">
        <f t="shared" si="78"/>
        <v>0</v>
      </c>
      <c r="M125" s="903">
        <f t="shared" ref="M125:X125" si="102">(M56)</f>
        <v>0</v>
      </c>
      <c r="N125" s="903">
        <f t="shared" si="102"/>
        <v>0</v>
      </c>
      <c r="O125" s="903">
        <f t="shared" si="102"/>
        <v>0</v>
      </c>
      <c r="P125" s="903">
        <f t="shared" si="102"/>
        <v>0</v>
      </c>
      <c r="Q125" s="903">
        <f t="shared" si="102"/>
        <v>0</v>
      </c>
      <c r="R125" s="903">
        <f t="shared" si="102"/>
        <v>0</v>
      </c>
      <c r="S125" s="903">
        <f t="shared" si="102"/>
        <v>0</v>
      </c>
      <c r="T125" s="903">
        <f t="shared" si="102"/>
        <v>0</v>
      </c>
      <c r="U125" s="903">
        <f t="shared" si="102"/>
        <v>0</v>
      </c>
      <c r="V125" s="903">
        <f t="shared" si="102"/>
        <v>0</v>
      </c>
      <c r="W125" s="903">
        <f t="shared" si="102"/>
        <v>0</v>
      </c>
      <c r="X125" s="903">
        <f t="shared" si="102"/>
        <v>0</v>
      </c>
    </row>
    <row r="126" spans="6:24" outlineLevel="1" collapsed="1">
      <c r="K126" s="1441"/>
    </row>
    <row r="128" spans="6:24" ht="15.75" thickBot="1">
      <c r="F128" s="860" t="e">
        <f>(#REF!+#REF!+#REF!+#REF!)</f>
        <v>#REF!</v>
      </c>
      <c r="G128" s="860"/>
      <c r="H128" s="861">
        <v>35.950000000000003</v>
      </c>
      <c r="I128" s="860"/>
      <c r="J128" s="1120"/>
      <c r="K128" s="102"/>
      <c r="L128" s="862">
        <f t="shared" ref="L128:X128" si="103">SUBTOTAL(9,L133:L177)</f>
        <v>549879.19999999995</v>
      </c>
      <c r="M128" s="862">
        <f t="shared" si="103"/>
        <v>60333.247999999985</v>
      </c>
      <c r="N128" s="862">
        <f t="shared" si="103"/>
        <v>35120.447999999997</v>
      </c>
      <c r="O128" s="862" t="e">
        <f t="shared" si="103"/>
        <v>#DIV/0!</v>
      </c>
      <c r="P128" s="862">
        <f t="shared" si="103"/>
        <v>76091.247999999992</v>
      </c>
      <c r="Q128" s="862">
        <f t="shared" si="103"/>
        <v>38264.743999999992</v>
      </c>
      <c r="R128" s="862" t="e">
        <f t="shared" si="103"/>
        <v>#DIV/0!</v>
      </c>
      <c r="S128" s="862" t="e">
        <f t="shared" si="103"/>
        <v>#DIV/0!</v>
      </c>
      <c r="T128" s="862" t="e">
        <f t="shared" si="103"/>
        <v>#DIV/0!</v>
      </c>
      <c r="U128" s="862">
        <f t="shared" si="103"/>
        <v>41270.263999999996</v>
      </c>
      <c r="V128" s="862">
        <f t="shared" si="103"/>
        <v>41277.567999999999</v>
      </c>
      <c r="W128" s="862" t="e">
        <f t="shared" si="103"/>
        <v>#DIV/0!</v>
      </c>
      <c r="X128" s="862" t="e">
        <f t="shared" si="103"/>
        <v>#DIV/0!</v>
      </c>
    </row>
    <row r="129" spans="3:24" ht="15" customHeight="1">
      <c r="C129" s="1605" t="s">
        <v>0</v>
      </c>
      <c r="D129" s="1608" t="s">
        <v>94</v>
      </c>
      <c r="E129" s="1608" t="s">
        <v>664</v>
      </c>
      <c r="F129" s="1608" t="s">
        <v>2</v>
      </c>
      <c r="G129" s="1608" t="s">
        <v>665</v>
      </c>
      <c r="H129" s="1623" t="s">
        <v>666</v>
      </c>
      <c r="I129" s="1611" t="s">
        <v>667</v>
      </c>
      <c r="J129" s="1611" t="s">
        <v>668</v>
      </c>
      <c r="K129" s="1614" t="s">
        <v>75</v>
      </c>
      <c r="L129" s="1614" t="s">
        <v>669</v>
      </c>
      <c r="M129" s="863" t="s">
        <v>670</v>
      </c>
      <c r="N129" s="864" t="s">
        <v>671</v>
      </c>
      <c r="O129" s="863" t="s">
        <v>672</v>
      </c>
      <c r="P129" s="864" t="s">
        <v>673</v>
      </c>
      <c r="Q129" s="863" t="s">
        <v>674</v>
      </c>
      <c r="R129" s="864" t="s">
        <v>675</v>
      </c>
      <c r="S129" s="863" t="s">
        <v>676</v>
      </c>
      <c r="T129" s="864" t="s">
        <v>677</v>
      </c>
      <c r="U129" s="863" t="s">
        <v>678</v>
      </c>
      <c r="V129" s="864" t="s">
        <v>679</v>
      </c>
      <c r="W129" s="863" t="s">
        <v>680</v>
      </c>
      <c r="X129" s="865" t="s">
        <v>681</v>
      </c>
    </row>
    <row r="130" spans="3:24" ht="16.5" customHeight="1">
      <c r="C130" s="1606"/>
      <c r="D130" s="1609"/>
      <c r="E130" s="1609"/>
      <c r="F130" s="1609"/>
      <c r="G130" s="1609"/>
      <c r="H130" s="1624"/>
      <c r="I130" s="1612"/>
      <c r="J130" s="1612"/>
      <c r="K130" s="1615"/>
      <c r="L130" s="1615"/>
      <c r="M130" s="1092">
        <f t="shared" ref="M130:X130" si="104">WEEKNUM(M131,21)</f>
        <v>1</v>
      </c>
      <c r="N130" s="1093">
        <f t="shared" si="104"/>
        <v>5</v>
      </c>
      <c r="O130" s="1092">
        <f t="shared" si="104"/>
        <v>9</v>
      </c>
      <c r="P130" s="1093">
        <f t="shared" si="104"/>
        <v>14</v>
      </c>
      <c r="Q130" s="1092">
        <f t="shared" si="104"/>
        <v>18</v>
      </c>
      <c r="R130" s="1093">
        <f t="shared" si="104"/>
        <v>22</v>
      </c>
      <c r="S130" s="1092">
        <f t="shared" si="104"/>
        <v>27</v>
      </c>
      <c r="T130" s="1093">
        <f t="shared" si="104"/>
        <v>31</v>
      </c>
      <c r="U130" s="1092">
        <f t="shared" si="104"/>
        <v>35</v>
      </c>
      <c r="V130" s="1093">
        <f t="shared" si="104"/>
        <v>40</v>
      </c>
      <c r="W130" s="1092">
        <f t="shared" si="104"/>
        <v>44</v>
      </c>
      <c r="X130" s="1094">
        <f t="shared" si="104"/>
        <v>48</v>
      </c>
    </row>
    <row r="131" spans="3:24" ht="15.75" thickBot="1">
      <c r="C131" s="1607"/>
      <c r="D131" s="1610"/>
      <c r="E131" s="1610"/>
      <c r="F131" s="1610"/>
      <c r="G131" s="1610"/>
      <c r="H131" s="1625"/>
      <c r="I131" s="1613"/>
      <c r="J131" s="1613"/>
      <c r="K131" s="1616"/>
      <c r="L131" s="1616"/>
      <c r="M131" s="869">
        <v>45292</v>
      </c>
      <c r="N131" s="870">
        <v>45323</v>
      </c>
      <c r="O131" s="869">
        <v>45352</v>
      </c>
      <c r="P131" s="870">
        <v>45383</v>
      </c>
      <c r="Q131" s="869">
        <v>45413</v>
      </c>
      <c r="R131" s="870">
        <v>45444</v>
      </c>
      <c r="S131" s="869">
        <v>45474</v>
      </c>
      <c r="T131" s="870">
        <v>45505</v>
      </c>
      <c r="U131" s="869">
        <v>45536</v>
      </c>
      <c r="V131" s="870">
        <v>45566</v>
      </c>
      <c r="W131" s="869">
        <v>45597</v>
      </c>
      <c r="X131" s="871">
        <v>45627</v>
      </c>
    </row>
    <row r="132" spans="3:24" ht="9.75" customHeight="1" thickBot="1">
      <c r="C132" s="872"/>
      <c r="D132" s="873"/>
      <c r="E132" s="873"/>
      <c r="F132" s="874"/>
      <c r="G132" s="874"/>
      <c r="H132" s="875"/>
      <c r="I132" s="874"/>
      <c r="J132" s="874"/>
      <c r="K132" s="874"/>
      <c r="L132" s="874"/>
      <c r="M132" s="873"/>
      <c r="N132" s="876"/>
      <c r="O132" s="876"/>
      <c r="P132" s="876"/>
      <c r="Q132" s="876"/>
      <c r="R132" s="876"/>
      <c r="S132" s="876"/>
      <c r="T132" s="876"/>
      <c r="U132" s="876"/>
      <c r="V132" s="876"/>
      <c r="W132" s="876"/>
      <c r="X132" s="877"/>
    </row>
    <row r="133" spans="3:24" s="101" customFormat="1" ht="20.100000000000001" customHeight="1">
      <c r="C133" s="878">
        <v>1</v>
      </c>
      <c r="D133" s="879">
        <v>0</v>
      </c>
      <c r="E133" s="879" t="s">
        <v>242</v>
      </c>
      <c r="F133" s="880" t="s">
        <v>637</v>
      </c>
      <c r="G133" s="1617"/>
      <c r="H133" s="1617"/>
      <c r="I133" s="1619">
        <v>200</v>
      </c>
      <c r="J133" s="1621">
        <f>AVERAGE(M134:X134)</f>
        <v>7.3040000000000012</v>
      </c>
      <c r="K133" s="881" t="s">
        <v>682</v>
      </c>
      <c r="L133" s="1097">
        <f>SUM(M133:X133)</f>
        <v>16600</v>
      </c>
      <c r="M133" s="973">
        <f t="shared" ref="M133:X133" si="105">(M10)</f>
        <v>3000</v>
      </c>
      <c r="N133" s="932">
        <f t="shared" si="105"/>
        <v>400</v>
      </c>
      <c r="O133" s="932">
        <f t="shared" si="105"/>
        <v>2200</v>
      </c>
      <c r="P133" s="932">
        <f t="shared" si="105"/>
        <v>200</v>
      </c>
      <c r="Q133" s="932">
        <f t="shared" si="105"/>
        <v>1600</v>
      </c>
      <c r="R133" s="932">
        <f t="shared" si="105"/>
        <v>1400</v>
      </c>
      <c r="S133" s="932">
        <f t="shared" si="105"/>
        <v>1200</v>
      </c>
      <c r="T133" s="932">
        <f t="shared" si="105"/>
        <v>1400</v>
      </c>
      <c r="U133" s="932">
        <f t="shared" si="105"/>
        <v>1200</v>
      </c>
      <c r="V133" s="932">
        <f t="shared" si="105"/>
        <v>1400</v>
      </c>
      <c r="W133" s="932">
        <f t="shared" si="105"/>
        <v>1200</v>
      </c>
      <c r="X133" s="1095">
        <f t="shared" si="105"/>
        <v>1400</v>
      </c>
    </row>
    <row r="134" spans="3:24" s="101" customFormat="1" ht="20.100000000000001" customHeight="1">
      <c r="C134" s="948"/>
      <c r="D134" s="1102">
        <v>0</v>
      </c>
      <c r="E134" s="1102" t="s">
        <v>242</v>
      </c>
      <c r="F134" s="950" t="s">
        <v>637</v>
      </c>
      <c r="G134" s="1617"/>
      <c r="H134" s="1617"/>
      <c r="I134" s="1619"/>
      <c r="J134" s="1621"/>
      <c r="K134" s="951" t="s">
        <v>688</v>
      </c>
      <c r="L134" s="952"/>
      <c r="M134" s="970">
        <f>(M135/M133)</f>
        <v>7.3039999999999985</v>
      </c>
      <c r="N134" s="970">
        <f t="shared" ref="N134:W134" si="106">(N135/N133)</f>
        <v>7.3039999999999985</v>
      </c>
      <c r="O134" s="970">
        <f t="shared" si="106"/>
        <v>7.3039999999999985</v>
      </c>
      <c r="P134" s="970">
        <f t="shared" si="106"/>
        <v>7.3039999999999985</v>
      </c>
      <c r="Q134" s="970">
        <f t="shared" si="106"/>
        <v>7.3039999999999985</v>
      </c>
      <c r="R134" s="970">
        <f t="shared" si="106"/>
        <v>7.3039999999999994</v>
      </c>
      <c r="S134" s="970">
        <f t="shared" si="106"/>
        <v>7.3039999999999994</v>
      </c>
      <c r="T134" s="970">
        <f t="shared" si="106"/>
        <v>7.3039999999999994</v>
      </c>
      <c r="U134" s="970">
        <f t="shared" si="106"/>
        <v>7.3039999999999994</v>
      </c>
      <c r="V134" s="970">
        <f t="shared" si="106"/>
        <v>7.3039999999999994</v>
      </c>
      <c r="W134" s="970">
        <f t="shared" si="106"/>
        <v>7.3039999999999994</v>
      </c>
      <c r="X134" s="976">
        <f>(X135/X133)</f>
        <v>7.3039999999999994</v>
      </c>
    </row>
    <row r="135" spans="3:24" s="101" customFormat="1" ht="20.100000000000001" customHeight="1" thickBot="1">
      <c r="C135" s="885"/>
      <c r="D135" s="1104">
        <v>0</v>
      </c>
      <c r="E135" s="1104" t="s">
        <v>242</v>
      </c>
      <c r="F135" s="887" t="s">
        <v>637</v>
      </c>
      <c r="G135" s="1618"/>
      <c r="H135" s="1618"/>
      <c r="I135" s="1620"/>
      <c r="J135" s="1622"/>
      <c r="K135" s="888" t="s">
        <v>569</v>
      </c>
      <c r="L135" s="889">
        <f>SUM(M135:X135)</f>
        <v>121246.39999999997</v>
      </c>
      <c r="M135" s="919">
        <f>(+M138+M144)</f>
        <v>21911.999999999996</v>
      </c>
      <c r="N135" s="974">
        <f t="shared" ref="N135:X135" si="107">(+N138+N144)</f>
        <v>2921.5999999999995</v>
      </c>
      <c r="O135" s="974">
        <f t="shared" si="107"/>
        <v>16068.799999999997</v>
      </c>
      <c r="P135" s="974">
        <f t="shared" si="107"/>
        <v>1460.7999999999997</v>
      </c>
      <c r="Q135" s="974">
        <f t="shared" si="107"/>
        <v>11686.399999999998</v>
      </c>
      <c r="R135" s="974">
        <f t="shared" si="107"/>
        <v>10225.599999999999</v>
      </c>
      <c r="S135" s="974">
        <f t="shared" si="107"/>
        <v>8764.7999999999993</v>
      </c>
      <c r="T135" s="974">
        <f t="shared" si="107"/>
        <v>10225.599999999999</v>
      </c>
      <c r="U135" s="974">
        <f t="shared" si="107"/>
        <v>8764.7999999999993</v>
      </c>
      <c r="V135" s="974">
        <f t="shared" si="107"/>
        <v>10225.599999999999</v>
      </c>
      <c r="W135" s="974">
        <f t="shared" si="107"/>
        <v>8764.7999999999993</v>
      </c>
      <c r="X135" s="975">
        <f t="shared" si="107"/>
        <v>10225.599999999999</v>
      </c>
    </row>
    <row r="136" spans="3:24" s="101" customFormat="1" ht="20.100000000000001" customHeight="1">
      <c r="C136" s="899"/>
      <c r="D136" s="1103">
        <v>9</v>
      </c>
      <c r="E136" s="1103" t="s">
        <v>100</v>
      </c>
      <c r="F136" s="900" t="s">
        <v>637</v>
      </c>
      <c r="G136" s="1650">
        <f>1/20</f>
        <v>0.05</v>
      </c>
      <c r="H136" s="983" t="s">
        <v>689</v>
      </c>
      <c r="I136" s="1651">
        <f>(I133*G136)</f>
        <v>10</v>
      </c>
      <c r="J136" s="1652">
        <f>AVERAGE(M137:X137)</f>
        <v>15</v>
      </c>
      <c r="K136" s="901" t="s">
        <v>682</v>
      </c>
      <c r="L136" s="911">
        <f>SUM(M136:X136)</f>
        <v>830</v>
      </c>
      <c r="M136" s="912">
        <f>(M133*$G136)</f>
        <v>150</v>
      </c>
      <c r="N136" s="913">
        <f t="shared" ref="N136:X136" si="108">(N133*$G136)</f>
        <v>20</v>
      </c>
      <c r="O136" s="913">
        <f t="shared" si="108"/>
        <v>110</v>
      </c>
      <c r="P136" s="913">
        <f t="shared" si="108"/>
        <v>10</v>
      </c>
      <c r="Q136" s="913">
        <f t="shared" si="108"/>
        <v>80</v>
      </c>
      <c r="R136" s="913">
        <f t="shared" si="108"/>
        <v>70</v>
      </c>
      <c r="S136" s="913">
        <f t="shared" si="108"/>
        <v>60</v>
      </c>
      <c r="T136" s="913">
        <f t="shared" si="108"/>
        <v>70</v>
      </c>
      <c r="U136" s="913">
        <f t="shared" si="108"/>
        <v>60</v>
      </c>
      <c r="V136" s="913">
        <f t="shared" si="108"/>
        <v>70</v>
      </c>
      <c r="W136" s="913">
        <f t="shared" si="108"/>
        <v>60</v>
      </c>
      <c r="X136" s="914">
        <f t="shared" si="108"/>
        <v>70</v>
      </c>
    </row>
    <row r="137" spans="3:24" s="101" customFormat="1" ht="20.100000000000001" customHeight="1">
      <c r="C137" s="899"/>
      <c r="D137" s="1103">
        <v>9</v>
      </c>
      <c r="E137" s="1103" t="s">
        <v>100</v>
      </c>
      <c r="F137" s="900" t="s">
        <v>637</v>
      </c>
      <c r="G137" s="1650"/>
      <c r="H137" s="983" t="s">
        <v>689</v>
      </c>
      <c r="I137" s="1651"/>
      <c r="J137" s="1652"/>
      <c r="K137" s="901" t="s">
        <v>688</v>
      </c>
      <c r="L137" s="911"/>
      <c r="M137" s="970">
        <v>15</v>
      </c>
      <c r="N137" s="970">
        <v>15</v>
      </c>
      <c r="O137" s="970">
        <v>15</v>
      </c>
      <c r="P137" s="970">
        <v>15</v>
      </c>
      <c r="Q137" s="970">
        <v>15</v>
      </c>
      <c r="R137" s="970">
        <v>15</v>
      </c>
      <c r="S137" s="970">
        <v>15</v>
      </c>
      <c r="T137" s="970">
        <v>15</v>
      </c>
      <c r="U137" s="970">
        <v>15</v>
      </c>
      <c r="V137" s="970">
        <v>15</v>
      </c>
      <c r="W137" s="970">
        <v>15</v>
      </c>
      <c r="X137" s="976">
        <v>15</v>
      </c>
    </row>
    <row r="138" spans="3:24" s="101" customFormat="1" ht="20.100000000000001" customHeight="1">
      <c r="C138" s="899"/>
      <c r="D138" s="1103">
        <v>9</v>
      </c>
      <c r="E138" s="1103" t="s">
        <v>100</v>
      </c>
      <c r="F138" s="900" t="s">
        <v>637</v>
      </c>
      <c r="G138" s="1650"/>
      <c r="H138" s="983" t="s">
        <v>689</v>
      </c>
      <c r="I138" s="1651"/>
      <c r="J138" s="1652"/>
      <c r="K138" s="901" t="s">
        <v>569</v>
      </c>
      <c r="L138" s="902">
        <f>SUM(M138:X138)</f>
        <v>12450</v>
      </c>
      <c r="M138" s="927">
        <f>(M136*M137)</f>
        <v>2250</v>
      </c>
      <c r="N138" s="903">
        <f t="shared" ref="N138:X138" si="109">(N136*N137)</f>
        <v>300</v>
      </c>
      <c r="O138" s="903">
        <f t="shared" si="109"/>
        <v>1650</v>
      </c>
      <c r="P138" s="903">
        <f t="shared" si="109"/>
        <v>150</v>
      </c>
      <c r="Q138" s="903">
        <f t="shared" si="109"/>
        <v>1200</v>
      </c>
      <c r="R138" s="903">
        <f t="shared" si="109"/>
        <v>1050</v>
      </c>
      <c r="S138" s="903">
        <f t="shared" si="109"/>
        <v>900</v>
      </c>
      <c r="T138" s="903">
        <f t="shared" si="109"/>
        <v>1050</v>
      </c>
      <c r="U138" s="903">
        <f t="shared" si="109"/>
        <v>900</v>
      </c>
      <c r="V138" s="903">
        <f t="shared" si="109"/>
        <v>1050</v>
      </c>
      <c r="W138" s="903">
        <f t="shared" si="109"/>
        <v>900</v>
      </c>
      <c r="X138" s="904">
        <f t="shared" si="109"/>
        <v>1050</v>
      </c>
    </row>
    <row r="139" spans="3:24" s="101" customFormat="1" ht="20.100000000000001" customHeight="1">
      <c r="C139" s="899"/>
      <c r="D139" s="1109">
        <v>9</v>
      </c>
      <c r="E139" s="1109" t="s">
        <v>100</v>
      </c>
      <c r="F139" s="900" t="s">
        <v>637</v>
      </c>
      <c r="G139" s="1650">
        <f>1/20</f>
        <v>0.05</v>
      </c>
      <c r="H139" s="983" t="s">
        <v>690</v>
      </c>
      <c r="I139" s="1651">
        <f>(I136*G139)</f>
        <v>0.5</v>
      </c>
      <c r="J139" s="1652" t="e">
        <f>AVERAGE(M140:X140)</f>
        <v>#DIV/0!</v>
      </c>
      <c r="K139" s="901" t="s">
        <v>682</v>
      </c>
      <c r="L139" s="911">
        <f>SUM(M139:X139)</f>
        <v>830</v>
      </c>
      <c r="M139" s="912">
        <f>(M133*$G139)</f>
        <v>150</v>
      </c>
      <c r="N139" s="913">
        <f t="shared" ref="N139:X139" si="110">(N133*$G139)</f>
        <v>20</v>
      </c>
      <c r="O139" s="913">
        <f t="shared" si="110"/>
        <v>110</v>
      </c>
      <c r="P139" s="913">
        <f t="shared" si="110"/>
        <v>10</v>
      </c>
      <c r="Q139" s="913">
        <f t="shared" si="110"/>
        <v>80</v>
      </c>
      <c r="R139" s="913">
        <f t="shared" si="110"/>
        <v>70</v>
      </c>
      <c r="S139" s="913">
        <f t="shared" si="110"/>
        <v>60</v>
      </c>
      <c r="T139" s="913">
        <f t="shared" si="110"/>
        <v>70</v>
      </c>
      <c r="U139" s="913">
        <f t="shared" si="110"/>
        <v>60</v>
      </c>
      <c r="V139" s="913">
        <f t="shared" si="110"/>
        <v>70</v>
      </c>
      <c r="W139" s="913">
        <f t="shared" si="110"/>
        <v>60</v>
      </c>
      <c r="X139" s="914">
        <f t="shared" si="110"/>
        <v>70</v>
      </c>
    </row>
    <row r="140" spans="3:24" s="101" customFormat="1" ht="20.100000000000001" customHeight="1">
      <c r="C140" s="899"/>
      <c r="D140" s="1109">
        <v>9</v>
      </c>
      <c r="E140" s="1109" t="s">
        <v>100</v>
      </c>
      <c r="F140" s="900" t="s">
        <v>637</v>
      </c>
      <c r="G140" s="1650"/>
      <c r="H140" s="983" t="s">
        <v>690</v>
      </c>
      <c r="I140" s="1651"/>
      <c r="J140" s="1652"/>
      <c r="K140" s="901" t="s">
        <v>688</v>
      </c>
      <c r="L140" s="911"/>
      <c r="M140" s="234"/>
      <c r="N140" s="970"/>
      <c r="O140" s="970"/>
      <c r="P140" s="970"/>
      <c r="Q140" s="970"/>
      <c r="R140" s="970"/>
      <c r="S140" s="970"/>
      <c r="T140" s="970"/>
      <c r="U140" s="970"/>
      <c r="V140" s="970"/>
      <c r="W140" s="970"/>
      <c r="X140" s="976"/>
    </row>
    <row r="141" spans="3:24" s="101" customFormat="1" ht="20.100000000000001" customHeight="1">
      <c r="C141" s="899"/>
      <c r="D141" s="1109">
        <v>9</v>
      </c>
      <c r="E141" s="1109" t="s">
        <v>100</v>
      </c>
      <c r="F141" s="900" t="s">
        <v>637</v>
      </c>
      <c r="G141" s="1650"/>
      <c r="H141" s="983" t="s">
        <v>690</v>
      </c>
      <c r="I141" s="1651"/>
      <c r="J141" s="1652"/>
      <c r="K141" s="901" t="s">
        <v>569</v>
      </c>
      <c r="L141" s="902">
        <f>SUM(M141:X141)</f>
        <v>0</v>
      </c>
      <c r="M141" s="927">
        <f>(M139*M140)</f>
        <v>0</v>
      </c>
      <c r="N141" s="903">
        <f t="shared" ref="N141:X141" si="111">(N139*N140)</f>
        <v>0</v>
      </c>
      <c r="O141" s="903">
        <f t="shared" si="111"/>
        <v>0</v>
      </c>
      <c r="P141" s="903">
        <f t="shared" si="111"/>
        <v>0</v>
      </c>
      <c r="Q141" s="903">
        <f t="shared" si="111"/>
        <v>0</v>
      </c>
      <c r="R141" s="903">
        <f t="shared" si="111"/>
        <v>0</v>
      </c>
      <c r="S141" s="903">
        <f t="shared" si="111"/>
        <v>0</v>
      </c>
      <c r="T141" s="903">
        <f t="shared" si="111"/>
        <v>0</v>
      </c>
      <c r="U141" s="903">
        <f t="shared" si="111"/>
        <v>0</v>
      </c>
      <c r="V141" s="903">
        <f t="shared" si="111"/>
        <v>0</v>
      </c>
      <c r="W141" s="903">
        <f t="shared" si="111"/>
        <v>0</v>
      </c>
      <c r="X141" s="904">
        <f t="shared" si="111"/>
        <v>0</v>
      </c>
    </row>
    <row r="142" spans="3:24" s="101" customFormat="1" ht="20.100000000000001" customHeight="1">
      <c r="C142" s="899"/>
      <c r="D142" s="1103">
        <v>10</v>
      </c>
      <c r="E142" s="1103" t="s">
        <v>100</v>
      </c>
      <c r="F142" s="900" t="s">
        <v>637</v>
      </c>
      <c r="G142" s="1650">
        <f>1/20</f>
        <v>0.05</v>
      </c>
      <c r="H142" s="983" t="s">
        <v>683</v>
      </c>
      <c r="I142" s="1651">
        <f>(I133*G142)</f>
        <v>10</v>
      </c>
      <c r="J142" s="1652">
        <f>AVERAGE(M143:X143)</f>
        <v>131.07999999999996</v>
      </c>
      <c r="K142" s="901" t="s">
        <v>682</v>
      </c>
      <c r="L142" s="911">
        <f t="shared" ref="L142" si="112">SUM(M142:X142)</f>
        <v>830</v>
      </c>
      <c r="M142" s="912">
        <f t="shared" ref="M142:X142" si="113">(M133*$G142)</f>
        <v>150</v>
      </c>
      <c r="N142" s="913">
        <f t="shared" si="113"/>
        <v>20</v>
      </c>
      <c r="O142" s="913">
        <f t="shared" si="113"/>
        <v>110</v>
      </c>
      <c r="P142" s="913">
        <f t="shared" si="113"/>
        <v>10</v>
      </c>
      <c r="Q142" s="913">
        <f t="shared" si="113"/>
        <v>80</v>
      </c>
      <c r="R142" s="913">
        <f t="shared" si="113"/>
        <v>70</v>
      </c>
      <c r="S142" s="913">
        <f t="shared" si="113"/>
        <v>60</v>
      </c>
      <c r="T142" s="913">
        <f t="shared" si="113"/>
        <v>70</v>
      </c>
      <c r="U142" s="913">
        <f t="shared" si="113"/>
        <v>60</v>
      </c>
      <c r="V142" s="913">
        <f t="shared" si="113"/>
        <v>70</v>
      </c>
      <c r="W142" s="913">
        <f t="shared" si="113"/>
        <v>60</v>
      </c>
      <c r="X142" s="914">
        <f t="shared" si="113"/>
        <v>70</v>
      </c>
    </row>
    <row r="143" spans="3:24" s="101" customFormat="1" ht="20.100000000000001" customHeight="1">
      <c r="C143" s="899"/>
      <c r="D143" s="1103">
        <v>10</v>
      </c>
      <c r="E143" s="1103" t="s">
        <v>100</v>
      </c>
      <c r="F143" s="900" t="s">
        <v>637</v>
      </c>
      <c r="G143" s="1650"/>
      <c r="H143" s="983" t="s">
        <v>683</v>
      </c>
      <c r="I143" s="1651"/>
      <c r="J143" s="1652"/>
      <c r="K143" s="901" t="s">
        <v>688</v>
      </c>
      <c r="L143" s="911"/>
      <c r="M143" s="970">
        <f>113*1.16</f>
        <v>131.07999999999998</v>
      </c>
      <c r="N143" s="970">
        <f t="shared" ref="N143:X143" si="114">113*1.16</f>
        <v>131.07999999999998</v>
      </c>
      <c r="O143" s="970">
        <f t="shared" si="114"/>
        <v>131.07999999999998</v>
      </c>
      <c r="P143" s="970">
        <f t="shared" si="114"/>
        <v>131.07999999999998</v>
      </c>
      <c r="Q143" s="970">
        <f t="shared" si="114"/>
        <v>131.07999999999998</v>
      </c>
      <c r="R143" s="970">
        <f t="shared" si="114"/>
        <v>131.07999999999998</v>
      </c>
      <c r="S143" s="970">
        <f t="shared" si="114"/>
        <v>131.07999999999998</v>
      </c>
      <c r="T143" s="970">
        <f t="shared" si="114"/>
        <v>131.07999999999998</v>
      </c>
      <c r="U143" s="970">
        <f t="shared" si="114"/>
        <v>131.07999999999998</v>
      </c>
      <c r="V143" s="970">
        <f t="shared" si="114"/>
        <v>131.07999999999998</v>
      </c>
      <c r="W143" s="970">
        <f t="shared" si="114"/>
        <v>131.07999999999998</v>
      </c>
      <c r="X143" s="976">
        <f t="shared" si="114"/>
        <v>131.07999999999998</v>
      </c>
    </row>
    <row r="144" spans="3:24" s="101" customFormat="1" ht="20.100000000000001" customHeight="1" thickBot="1">
      <c r="C144" s="885"/>
      <c r="D144" s="1104">
        <v>10</v>
      </c>
      <c r="E144" s="1104" t="s">
        <v>100</v>
      </c>
      <c r="F144" s="887" t="s">
        <v>637</v>
      </c>
      <c r="G144" s="1673"/>
      <c r="H144" s="986" t="s">
        <v>683</v>
      </c>
      <c r="I144" s="1674"/>
      <c r="J144" s="1675"/>
      <c r="K144" s="888" t="s">
        <v>569</v>
      </c>
      <c r="L144" s="916">
        <f t="shared" ref="L144" si="115">SUM(M144:X144)</f>
        <v>108796.39999999997</v>
      </c>
      <c r="M144" s="938">
        <f t="shared" ref="M144:X144" si="116">(M142*M143)</f>
        <v>19661.999999999996</v>
      </c>
      <c r="N144" s="917">
        <f t="shared" si="116"/>
        <v>2621.5999999999995</v>
      </c>
      <c r="O144" s="917">
        <f t="shared" si="116"/>
        <v>14418.799999999997</v>
      </c>
      <c r="P144" s="917">
        <f t="shared" si="116"/>
        <v>1310.7999999999997</v>
      </c>
      <c r="Q144" s="917">
        <f t="shared" si="116"/>
        <v>10486.399999999998</v>
      </c>
      <c r="R144" s="917">
        <f t="shared" si="116"/>
        <v>9175.5999999999985</v>
      </c>
      <c r="S144" s="917">
        <f t="shared" si="116"/>
        <v>7864.7999999999993</v>
      </c>
      <c r="T144" s="917">
        <f t="shared" si="116"/>
        <v>9175.5999999999985</v>
      </c>
      <c r="U144" s="917">
        <f t="shared" si="116"/>
        <v>7864.7999999999993</v>
      </c>
      <c r="V144" s="917">
        <f t="shared" si="116"/>
        <v>9175.5999999999985</v>
      </c>
      <c r="W144" s="917">
        <f t="shared" si="116"/>
        <v>7864.7999999999993</v>
      </c>
      <c r="X144" s="918">
        <f t="shared" si="116"/>
        <v>9175.5999999999985</v>
      </c>
    </row>
    <row r="145" spans="3:24" s="101" customFormat="1" ht="20.100000000000001" customHeight="1" collapsed="1">
      <c r="C145" s="890">
        <v>2</v>
      </c>
      <c r="D145" s="891">
        <v>0</v>
      </c>
      <c r="E145" s="891" t="s">
        <v>242</v>
      </c>
      <c r="F145" s="892" t="s">
        <v>51</v>
      </c>
      <c r="G145" s="1637"/>
      <c r="H145" s="1637"/>
      <c r="I145" s="1646">
        <v>200</v>
      </c>
      <c r="J145" s="1641" t="e">
        <f>AVERAGE(M146:X146)</f>
        <v>#DIV/0!</v>
      </c>
      <c r="K145" s="894" t="s">
        <v>682</v>
      </c>
      <c r="L145" s="1098">
        <f t="shared" ref="L145" si="117">SUM(M145:X145)</f>
        <v>12800</v>
      </c>
      <c r="M145" s="973">
        <f t="shared" ref="M145:X145" si="118">(M35)</f>
        <v>800</v>
      </c>
      <c r="N145" s="932">
        <f t="shared" si="118"/>
        <v>1800</v>
      </c>
      <c r="O145" s="932">
        <f t="shared" si="118"/>
        <v>0</v>
      </c>
      <c r="P145" s="932">
        <f t="shared" si="118"/>
        <v>600</v>
      </c>
      <c r="Q145" s="932">
        <f t="shared" si="118"/>
        <v>800</v>
      </c>
      <c r="R145" s="932">
        <f t="shared" si="118"/>
        <v>1000</v>
      </c>
      <c r="S145" s="932">
        <f t="shared" si="118"/>
        <v>1400</v>
      </c>
      <c r="T145" s="932">
        <f t="shared" si="118"/>
        <v>1200</v>
      </c>
      <c r="U145" s="932">
        <f t="shared" si="118"/>
        <v>1400</v>
      </c>
      <c r="V145" s="932">
        <f t="shared" si="118"/>
        <v>1200</v>
      </c>
      <c r="W145" s="932">
        <f t="shared" si="118"/>
        <v>1400</v>
      </c>
      <c r="X145" s="1095">
        <f t="shared" si="118"/>
        <v>1200</v>
      </c>
    </row>
    <row r="146" spans="3:24" s="101" customFormat="1" ht="20.100000000000001" customHeight="1">
      <c r="C146" s="948"/>
      <c r="D146" s="1102">
        <v>0</v>
      </c>
      <c r="E146" s="1102" t="s">
        <v>242</v>
      </c>
      <c r="F146" s="950" t="s">
        <v>51</v>
      </c>
      <c r="G146" s="1617"/>
      <c r="H146" s="1617"/>
      <c r="I146" s="1619"/>
      <c r="J146" s="1621"/>
      <c r="K146" s="951" t="s">
        <v>688</v>
      </c>
      <c r="L146" s="952"/>
      <c r="M146" s="970">
        <f>(M147/M145)</f>
        <v>7.3039999999999985</v>
      </c>
      <c r="N146" s="970">
        <f>(N147/N145)</f>
        <v>7.3039999999999994</v>
      </c>
      <c r="O146" s="970" t="e">
        <f>(O147/O145)</f>
        <v>#DIV/0!</v>
      </c>
      <c r="P146" s="970">
        <f>(P147/P145)</f>
        <v>7.3039999999999994</v>
      </c>
      <c r="Q146" s="970"/>
      <c r="R146" s="970">
        <f>(R147/R145)</f>
        <v>7.3039999999999994</v>
      </c>
      <c r="S146" s="970">
        <f>(S147/S145)</f>
        <v>7.3039999999999994</v>
      </c>
      <c r="T146" s="970">
        <f>(T147/T145)</f>
        <v>7.3039999999999994</v>
      </c>
      <c r="U146" s="970"/>
      <c r="V146" s="970">
        <f>(V147/V145)</f>
        <v>7.3039999999999994</v>
      </c>
      <c r="W146" s="970">
        <f>(W147/W145)</f>
        <v>7.3039999999999994</v>
      </c>
      <c r="X146" s="976">
        <f>(X147/X145)</f>
        <v>7.3039999999999994</v>
      </c>
    </row>
    <row r="147" spans="3:24" s="101" customFormat="1" ht="20.100000000000001" customHeight="1" thickBot="1">
      <c r="C147" s="885"/>
      <c r="D147" s="1104">
        <v>0</v>
      </c>
      <c r="E147" s="1104" t="s">
        <v>242</v>
      </c>
      <c r="F147" s="887" t="s">
        <v>51</v>
      </c>
      <c r="G147" s="1618"/>
      <c r="H147" s="1618"/>
      <c r="I147" s="1620"/>
      <c r="J147" s="1622"/>
      <c r="K147" s="888" t="s">
        <v>569</v>
      </c>
      <c r="L147" s="889">
        <f t="shared" ref="L147" si="119">SUM(M147:X147)</f>
        <v>93491.199999999997</v>
      </c>
      <c r="M147" s="919">
        <f>(+M150+M156)</f>
        <v>5843.1999999999989</v>
      </c>
      <c r="N147" s="974">
        <f t="shared" ref="N147:X147" si="120">(+N150+N156)</f>
        <v>13147.199999999999</v>
      </c>
      <c r="O147" s="974">
        <f t="shared" si="120"/>
        <v>0</v>
      </c>
      <c r="P147" s="974">
        <f t="shared" si="120"/>
        <v>4382.3999999999996</v>
      </c>
      <c r="Q147" s="974">
        <f t="shared" si="120"/>
        <v>5843.1999999999989</v>
      </c>
      <c r="R147" s="974">
        <f t="shared" si="120"/>
        <v>7303.9999999999991</v>
      </c>
      <c r="S147" s="974">
        <f t="shared" si="120"/>
        <v>10225.599999999999</v>
      </c>
      <c r="T147" s="974">
        <f t="shared" si="120"/>
        <v>8764.7999999999993</v>
      </c>
      <c r="U147" s="974">
        <f t="shared" si="120"/>
        <v>10225.599999999999</v>
      </c>
      <c r="V147" s="974">
        <f t="shared" si="120"/>
        <v>8764.7999999999993</v>
      </c>
      <c r="W147" s="974">
        <f t="shared" si="120"/>
        <v>10225.599999999999</v>
      </c>
      <c r="X147" s="975">
        <f t="shared" si="120"/>
        <v>8764.7999999999993</v>
      </c>
    </row>
    <row r="148" spans="3:24" s="101" customFormat="1" ht="20.100000000000001" customHeight="1">
      <c r="C148" s="899"/>
      <c r="D148" s="1103">
        <v>6</v>
      </c>
      <c r="E148" s="1103" t="s">
        <v>100</v>
      </c>
      <c r="F148" s="900" t="s">
        <v>51</v>
      </c>
      <c r="G148" s="1650">
        <f>1/20</f>
        <v>0.05</v>
      </c>
      <c r="H148" s="983" t="s">
        <v>689</v>
      </c>
      <c r="I148" s="1651">
        <f>(I145*G148)</f>
        <v>10</v>
      </c>
      <c r="J148" s="1652">
        <f>AVERAGE(M149:X149)</f>
        <v>15</v>
      </c>
      <c r="K148" s="901" t="s">
        <v>682</v>
      </c>
      <c r="L148" s="911">
        <f>SUM(M148:X148)</f>
        <v>640</v>
      </c>
      <c r="M148" s="912">
        <f t="shared" ref="M148:X148" si="121">(M145*$G148)</f>
        <v>40</v>
      </c>
      <c r="N148" s="913">
        <f t="shared" si="121"/>
        <v>90</v>
      </c>
      <c r="O148" s="913">
        <f t="shared" si="121"/>
        <v>0</v>
      </c>
      <c r="P148" s="913">
        <f t="shared" si="121"/>
        <v>30</v>
      </c>
      <c r="Q148" s="913">
        <f t="shared" si="121"/>
        <v>40</v>
      </c>
      <c r="R148" s="913">
        <f t="shared" si="121"/>
        <v>50</v>
      </c>
      <c r="S148" s="913">
        <f t="shared" si="121"/>
        <v>70</v>
      </c>
      <c r="T148" s="913">
        <f t="shared" si="121"/>
        <v>60</v>
      </c>
      <c r="U148" s="913">
        <f t="shared" si="121"/>
        <v>70</v>
      </c>
      <c r="V148" s="913">
        <f t="shared" si="121"/>
        <v>60</v>
      </c>
      <c r="W148" s="913">
        <f t="shared" si="121"/>
        <v>70</v>
      </c>
      <c r="X148" s="914">
        <f t="shared" si="121"/>
        <v>60</v>
      </c>
    </row>
    <row r="149" spans="3:24" s="101" customFormat="1" ht="20.100000000000001" customHeight="1">
      <c r="C149" s="899"/>
      <c r="D149" s="1103">
        <v>6</v>
      </c>
      <c r="E149" s="1103" t="s">
        <v>100</v>
      </c>
      <c r="F149" s="900" t="s">
        <v>51</v>
      </c>
      <c r="G149" s="1650"/>
      <c r="H149" s="983" t="s">
        <v>689</v>
      </c>
      <c r="I149" s="1651"/>
      <c r="J149" s="1652"/>
      <c r="K149" s="901" t="s">
        <v>688</v>
      </c>
      <c r="L149" s="911"/>
      <c r="M149" s="970">
        <v>15</v>
      </c>
      <c r="N149" s="970">
        <v>15</v>
      </c>
      <c r="O149" s="970">
        <v>15</v>
      </c>
      <c r="P149" s="970">
        <v>15</v>
      </c>
      <c r="Q149" s="970">
        <v>15</v>
      </c>
      <c r="R149" s="970">
        <v>15</v>
      </c>
      <c r="S149" s="970">
        <v>15</v>
      </c>
      <c r="T149" s="970">
        <v>15</v>
      </c>
      <c r="U149" s="970">
        <v>15</v>
      </c>
      <c r="V149" s="970">
        <v>15</v>
      </c>
      <c r="W149" s="970">
        <v>15</v>
      </c>
      <c r="X149" s="976">
        <v>15</v>
      </c>
    </row>
    <row r="150" spans="3:24" s="101" customFormat="1" ht="20.100000000000001" customHeight="1">
      <c r="C150" s="899"/>
      <c r="D150" s="1103">
        <v>6</v>
      </c>
      <c r="E150" s="1103" t="s">
        <v>100</v>
      </c>
      <c r="F150" s="900" t="s">
        <v>51</v>
      </c>
      <c r="G150" s="1650"/>
      <c r="H150" s="983" t="s">
        <v>689</v>
      </c>
      <c r="I150" s="1651"/>
      <c r="J150" s="1652"/>
      <c r="K150" s="901" t="s">
        <v>569</v>
      </c>
      <c r="L150" s="902">
        <f>SUM(M150:X150)</f>
        <v>9600</v>
      </c>
      <c r="M150" s="927">
        <f>(M148*M149)</f>
        <v>600</v>
      </c>
      <c r="N150" s="903">
        <f t="shared" ref="N150" si="122">(N148*N149)</f>
        <v>1350</v>
      </c>
      <c r="O150" s="903">
        <f>(O148*O149)</f>
        <v>0</v>
      </c>
      <c r="P150" s="903">
        <f t="shared" ref="P150:W150" si="123">(P148*P149)</f>
        <v>450</v>
      </c>
      <c r="Q150" s="903">
        <f t="shared" si="123"/>
        <v>600</v>
      </c>
      <c r="R150" s="903">
        <f t="shared" si="123"/>
        <v>750</v>
      </c>
      <c r="S150" s="903">
        <f t="shared" si="123"/>
        <v>1050</v>
      </c>
      <c r="T150" s="903">
        <f t="shared" si="123"/>
        <v>900</v>
      </c>
      <c r="U150" s="903">
        <f t="shared" si="123"/>
        <v>1050</v>
      </c>
      <c r="V150" s="903">
        <f t="shared" si="123"/>
        <v>900</v>
      </c>
      <c r="W150" s="903">
        <f t="shared" si="123"/>
        <v>1050</v>
      </c>
      <c r="X150" s="904">
        <f>(X148*X149)</f>
        <v>900</v>
      </c>
    </row>
    <row r="151" spans="3:24" s="101" customFormat="1" ht="20.100000000000001" customHeight="1">
      <c r="C151" s="899"/>
      <c r="D151" s="1109">
        <v>9</v>
      </c>
      <c r="E151" s="1109" t="s">
        <v>100</v>
      </c>
      <c r="F151" s="900" t="s">
        <v>51</v>
      </c>
      <c r="G151" s="1650">
        <f>1/20</f>
        <v>0.05</v>
      </c>
      <c r="H151" s="983" t="s">
        <v>690</v>
      </c>
      <c r="I151" s="1651">
        <f>(I148*G151)</f>
        <v>0.5</v>
      </c>
      <c r="J151" s="1652" t="e">
        <f>AVERAGE(M152:X152)</f>
        <v>#DIV/0!</v>
      </c>
      <c r="K151" s="901" t="s">
        <v>682</v>
      </c>
      <c r="L151" s="911">
        <f>SUM(M151:X151)</f>
        <v>640</v>
      </c>
      <c r="M151" s="912">
        <f>(M145*$G151)</f>
        <v>40</v>
      </c>
      <c r="N151" s="913">
        <f t="shared" ref="N151:X151" si="124">(N145*$G151)</f>
        <v>90</v>
      </c>
      <c r="O151" s="913">
        <f t="shared" si="124"/>
        <v>0</v>
      </c>
      <c r="P151" s="913">
        <f t="shared" si="124"/>
        <v>30</v>
      </c>
      <c r="Q151" s="913">
        <f t="shared" si="124"/>
        <v>40</v>
      </c>
      <c r="R151" s="913">
        <f t="shared" si="124"/>
        <v>50</v>
      </c>
      <c r="S151" s="913">
        <f t="shared" si="124"/>
        <v>70</v>
      </c>
      <c r="T151" s="913">
        <f t="shared" si="124"/>
        <v>60</v>
      </c>
      <c r="U151" s="913">
        <f t="shared" si="124"/>
        <v>70</v>
      </c>
      <c r="V151" s="913">
        <f t="shared" si="124"/>
        <v>60</v>
      </c>
      <c r="W151" s="913">
        <f t="shared" si="124"/>
        <v>70</v>
      </c>
      <c r="X151" s="914">
        <f t="shared" si="124"/>
        <v>60</v>
      </c>
    </row>
    <row r="152" spans="3:24" s="101" customFormat="1" ht="20.100000000000001" customHeight="1">
      <c r="C152" s="899"/>
      <c r="D152" s="1109">
        <v>9</v>
      </c>
      <c r="E152" s="1109" t="s">
        <v>100</v>
      </c>
      <c r="F152" s="900" t="s">
        <v>51</v>
      </c>
      <c r="G152" s="1650"/>
      <c r="H152" s="983" t="s">
        <v>690</v>
      </c>
      <c r="I152" s="1651"/>
      <c r="J152" s="1652"/>
      <c r="K152" s="901" t="s">
        <v>688</v>
      </c>
      <c r="L152" s="911"/>
      <c r="M152" s="234"/>
      <c r="N152" s="970"/>
      <c r="O152" s="970"/>
      <c r="P152" s="970"/>
      <c r="Q152" s="970"/>
      <c r="R152" s="970"/>
      <c r="S152" s="970"/>
      <c r="T152" s="970"/>
      <c r="U152" s="970"/>
      <c r="V152" s="970"/>
      <c r="W152" s="970"/>
      <c r="X152" s="976"/>
    </row>
    <row r="153" spans="3:24" s="101" customFormat="1" ht="20.100000000000001" customHeight="1">
      <c r="C153" s="899"/>
      <c r="D153" s="1109">
        <v>9</v>
      </c>
      <c r="E153" s="1109" t="s">
        <v>100</v>
      </c>
      <c r="F153" s="900" t="s">
        <v>51</v>
      </c>
      <c r="G153" s="1650"/>
      <c r="H153" s="983" t="s">
        <v>690</v>
      </c>
      <c r="I153" s="1651"/>
      <c r="J153" s="1652"/>
      <c r="K153" s="901" t="s">
        <v>569</v>
      </c>
      <c r="L153" s="902">
        <f>SUM(M153:X153)</f>
        <v>0</v>
      </c>
      <c r="M153" s="927">
        <f>(M151*M152)</f>
        <v>0</v>
      </c>
      <c r="N153" s="903">
        <f t="shared" ref="N153:X153" si="125">(N151*N152)</f>
        <v>0</v>
      </c>
      <c r="O153" s="903">
        <f t="shared" si="125"/>
        <v>0</v>
      </c>
      <c r="P153" s="903">
        <f t="shared" si="125"/>
        <v>0</v>
      </c>
      <c r="Q153" s="903">
        <f t="shared" si="125"/>
        <v>0</v>
      </c>
      <c r="R153" s="903">
        <f t="shared" si="125"/>
        <v>0</v>
      </c>
      <c r="S153" s="903">
        <f t="shared" si="125"/>
        <v>0</v>
      </c>
      <c r="T153" s="903">
        <f t="shared" si="125"/>
        <v>0</v>
      </c>
      <c r="U153" s="903">
        <f t="shared" si="125"/>
        <v>0</v>
      </c>
      <c r="V153" s="903">
        <f t="shared" si="125"/>
        <v>0</v>
      </c>
      <c r="W153" s="903">
        <f t="shared" si="125"/>
        <v>0</v>
      </c>
      <c r="X153" s="904">
        <f t="shared" si="125"/>
        <v>0</v>
      </c>
    </row>
    <row r="154" spans="3:24" ht="20.100000000000001" customHeight="1">
      <c r="C154" s="899"/>
      <c r="D154" s="1103">
        <v>7</v>
      </c>
      <c r="E154" s="1103" t="s">
        <v>100</v>
      </c>
      <c r="F154" s="900" t="s">
        <v>51</v>
      </c>
      <c r="G154" s="1653">
        <f>1/20</f>
        <v>0.05</v>
      </c>
      <c r="H154" s="983" t="s">
        <v>683</v>
      </c>
      <c r="I154" s="1654">
        <f>(I145*G154)</f>
        <v>10</v>
      </c>
      <c r="J154" s="1657">
        <f>AVERAGE(M155:X155)</f>
        <v>131.07999999999996</v>
      </c>
      <c r="K154" s="926" t="s">
        <v>682</v>
      </c>
      <c r="L154" s="911">
        <f t="shared" ref="L154" si="126">SUM(M154:X154)</f>
        <v>640</v>
      </c>
      <c r="M154" s="929">
        <f t="shared" ref="M154:X154" si="127">(M145*$G154)</f>
        <v>40</v>
      </c>
      <c r="N154" s="930">
        <f t="shared" si="127"/>
        <v>90</v>
      </c>
      <c r="O154" s="930">
        <f t="shared" si="127"/>
        <v>0</v>
      </c>
      <c r="P154" s="930">
        <f t="shared" si="127"/>
        <v>30</v>
      </c>
      <c r="Q154" s="930">
        <f t="shared" si="127"/>
        <v>40</v>
      </c>
      <c r="R154" s="930">
        <f t="shared" si="127"/>
        <v>50</v>
      </c>
      <c r="S154" s="930">
        <f t="shared" si="127"/>
        <v>70</v>
      </c>
      <c r="T154" s="930">
        <f t="shared" si="127"/>
        <v>60</v>
      </c>
      <c r="U154" s="930">
        <f t="shared" si="127"/>
        <v>70</v>
      </c>
      <c r="V154" s="930">
        <f t="shared" si="127"/>
        <v>60</v>
      </c>
      <c r="W154" s="930">
        <f t="shared" si="127"/>
        <v>70</v>
      </c>
      <c r="X154" s="931">
        <f t="shared" si="127"/>
        <v>60</v>
      </c>
    </row>
    <row r="155" spans="3:24" ht="20.100000000000001" customHeight="1">
      <c r="C155" s="992"/>
      <c r="D155" s="1105">
        <v>7</v>
      </c>
      <c r="E155" s="1105" t="s">
        <v>100</v>
      </c>
      <c r="F155" s="993" t="s">
        <v>51</v>
      </c>
      <c r="G155" s="1617"/>
      <c r="H155" s="994" t="s">
        <v>683</v>
      </c>
      <c r="I155" s="1655"/>
      <c r="J155" s="1633"/>
      <c r="K155" s="995" t="s">
        <v>688</v>
      </c>
      <c r="L155" s="996"/>
      <c r="M155" s="970">
        <f>113*1.16</f>
        <v>131.07999999999998</v>
      </c>
      <c r="N155" s="970">
        <f t="shared" ref="N155:X155" si="128">113*1.16</f>
        <v>131.07999999999998</v>
      </c>
      <c r="O155" s="970">
        <f t="shared" si="128"/>
        <v>131.07999999999998</v>
      </c>
      <c r="P155" s="970">
        <f t="shared" si="128"/>
        <v>131.07999999999998</v>
      </c>
      <c r="Q155" s="970">
        <f t="shared" si="128"/>
        <v>131.07999999999998</v>
      </c>
      <c r="R155" s="970">
        <f t="shared" si="128"/>
        <v>131.07999999999998</v>
      </c>
      <c r="S155" s="970">
        <f t="shared" si="128"/>
        <v>131.07999999999998</v>
      </c>
      <c r="T155" s="970">
        <f t="shared" si="128"/>
        <v>131.07999999999998</v>
      </c>
      <c r="U155" s="970">
        <f t="shared" si="128"/>
        <v>131.07999999999998</v>
      </c>
      <c r="V155" s="970">
        <f t="shared" si="128"/>
        <v>131.07999999999998</v>
      </c>
      <c r="W155" s="970">
        <f t="shared" si="128"/>
        <v>131.07999999999998</v>
      </c>
      <c r="X155" s="976">
        <f t="shared" si="128"/>
        <v>131.07999999999998</v>
      </c>
    </row>
    <row r="156" spans="3:24" ht="20.100000000000001" customHeight="1" thickBot="1">
      <c r="C156" s="885"/>
      <c r="D156" s="1104">
        <v>7</v>
      </c>
      <c r="E156" s="1104" t="s">
        <v>100</v>
      </c>
      <c r="F156" s="887" t="s">
        <v>51</v>
      </c>
      <c r="G156" s="1618"/>
      <c r="H156" s="986" t="s">
        <v>683</v>
      </c>
      <c r="I156" s="1656"/>
      <c r="J156" s="1658"/>
      <c r="K156" s="937" t="s">
        <v>569</v>
      </c>
      <c r="L156" s="916">
        <f t="shared" ref="L156" si="129">SUM(M156:X156)</f>
        <v>83891.199999999997</v>
      </c>
      <c r="M156" s="938">
        <f>(M154*M155)</f>
        <v>5243.1999999999989</v>
      </c>
      <c r="N156" s="917">
        <f t="shared" ref="N156:V156" si="130">(N154*N155)</f>
        <v>11797.199999999999</v>
      </c>
      <c r="O156" s="917">
        <f t="shared" si="130"/>
        <v>0</v>
      </c>
      <c r="P156" s="917">
        <f t="shared" si="130"/>
        <v>3932.3999999999996</v>
      </c>
      <c r="Q156" s="917">
        <f t="shared" si="130"/>
        <v>5243.1999999999989</v>
      </c>
      <c r="R156" s="917">
        <f t="shared" si="130"/>
        <v>6553.9999999999991</v>
      </c>
      <c r="S156" s="917">
        <f t="shared" si="130"/>
        <v>9175.5999999999985</v>
      </c>
      <c r="T156" s="917">
        <f t="shared" si="130"/>
        <v>7864.7999999999993</v>
      </c>
      <c r="U156" s="917">
        <f t="shared" si="130"/>
        <v>9175.5999999999985</v>
      </c>
      <c r="V156" s="917">
        <f t="shared" si="130"/>
        <v>7864.7999999999993</v>
      </c>
      <c r="W156" s="917">
        <f>(W154*W155)</f>
        <v>9175.5999999999985</v>
      </c>
      <c r="X156" s="918">
        <f>(X154*X155)</f>
        <v>7864.7999999999993</v>
      </c>
    </row>
    <row r="157" spans="3:24" ht="20.100000000000001" customHeight="1" collapsed="1">
      <c r="C157" s="890">
        <v>3</v>
      </c>
      <c r="D157" s="891">
        <v>0</v>
      </c>
      <c r="E157" s="891" t="s">
        <v>242</v>
      </c>
      <c r="F157" s="892" t="s">
        <v>641</v>
      </c>
      <c r="G157" s="1637"/>
      <c r="H157" s="1637"/>
      <c r="I157" s="1646">
        <v>200</v>
      </c>
      <c r="J157" s="1641" t="e">
        <f>AVERAGE(M158:X158)</f>
        <v>#DIV/0!</v>
      </c>
      <c r="K157" s="894" t="s">
        <v>682</v>
      </c>
      <c r="L157" s="882">
        <f>SUM(M157:X157)</f>
        <v>4000</v>
      </c>
      <c r="M157" s="987">
        <f t="shared" ref="M157:X157" si="131">(M51)</f>
        <v>0</v>
      </c>
      <c r="N157" s="883">
        <f t="shared" si="131"/>
        <v>0</v>
      </c>
      <c r="O157" s="883">
        <f t="shared" si="131"/>
        <v>0</v>
      </c>
      <c r="P157" s="883">
        <f t="shared" si="131"/>
        <v>4000</v>
      </c>
      <c r="Q157" s="883">
        <f t="shared" si="131"/>
        <v>0</v>
      </c>
      <c r="R157" s="883">
        <f t="shared" si="131"/>
        <v>0</v>
      </c>
      <c r="S157" s="883">
        <f t="shared" si="131"/>
        <v>0</v>
      </c>
      <c r="T157" s="883">
        <f t="shared" si="131"/>
        <v>0</v>
      </c>
      <c r="U157" s="883">
        <f t="shared" si="131"/>
        <v>0</v>
      </c>
      <c r="V157" s="883">
        <f t="shared" si="131"/>
        <v>0</v>
      </c>
      <c r="W157" s="883">
        <f t="shared" si="131"/>
        <v>0</v>
      </c>
      <c r="X157" s="884">
        <f t="shared" si="131"/>
        <v>0</v>
      </c>
    </row>
    <row r="158" spans="3:24" ht="20.100000000000001" customHeight="1">
      <c r="C158" s="948"/>
      <c r="D158" s="1102">
        <v>0</v>
      </c>
      <c r="E158" s="1102" t="s">
        <v>242</v>
      </c>
      <c r="F158" s="950" t="s">
        <v>641</v>
      </c>
      <c r="G158" s="1617"/>
      <c r="H158" s="1617"/>
      <c r="I158" s="1619"/>
      <c r="J158" s="1621"/>
      <c r="K158" s="951" t="s">
        <v>688</v>
      </c>
      <c r="L158" s="952"/>
      <c r="M158" s="970"/>
      <c r="N158" s="970"/>
      <c r="O158" s="970"/>
      <c r="P158" s="970"/>
      <c r="Q158" s="970"/>
      <c r="R158" s="970" t="e">
        <f>(R159/R157)</f>
        <v>#DIV/0!</v>
      </c>
      <c r="S158" s="970" t="e">
        <f t="shared" ref="S158" si="132">(S159/S157)</f>
        <v>#DIV/0!</v>
      </c>
      <c r="T158" s="970" t="e">
        <f>(T159/T157)</f>
        <v>#DIV/0!</v>
      </c>
      <c r="U158" s="1096"/>
      <c r="V158" s="970"/>
      <c r="W158" s="970" t="e">
        <f t="shared" ref="W158:X158" si="133">(W159/W157)</f>
        <v>#DIV/0!</v>
      </c>
      <c r="X158" s="976" t="e">
        <f t="shared" si="133"/>
        <v>#DIV/0!</v>
      </c>
    </row>
    <row r="159" spans="3:24" ht="20.100000000000001" customHeight="1" thickBot="1">
      <c r="C159" s="885"/>
      <c r="D159" s="1104">
        <v>0</v>
      </c>
      <c r="E159" s="1104" t="s">
        <v>242</v>
      </c>
      <c r="F159" s="887" t="s">
        <v>641</v>
      </c>
      <c r="G159" s="1618"/>
      <c r="H159" s="1618"/>
      <c r="I159" s="1620"/>
      <c r="J159" s="1622"/>
      <c r="K159" s="888" t="s">
        <v>569</v>
      </c>
      <c r="L159" s="889">
        <f>SUM(M159:X159)</f>
        <v>29215.999999999996</v>
      </c>
      <c r="M159" s="919">
        <f>SUM(+M162++M168)</f>
        <v>0</v>
      </c>
      <c r="N159" s="974">
        <f t="shared" ref="N159:X159" si="134">SUM(+N162++N168)</f>
        <v>0</v>
      </c>
      <c r="O159" s="974">
        <f t="shared" si="134"/>
        <v>0</v>
      </c>
      <c r="P159" s="974">
        <f t="shared" si="134"/>
        <v>29215.999999999996</v>
      </c>
      <c r="Q159" s="974">
        <f t="shared" si="134"/>
        <v>0</v>
      </c>
      <c r="R159" s="974">
        <f t="shared" si="134"/>
        <v>0</v>
      </c>
      <c r="S159" s="974">
        <f t="shared" si="134"/>
        <v>0</v>
      </c>
      <c r="T159" s="974">
        <f t="shared" si="134"/>
        <v>0</v>
      </c>
      <c r="U159" s="974">
        <f t="shared" si="134"/>
        <v>0</v>
      </c>
      <c r="V159" s="974">
        <f t="shared" si="134"/>
        <v>0</v>
      </c>
      <c r="W159" s="974">
        <f t="shared" si="134"/>
        <v>0</v>
      </c>
      <c r="X159" s="975">
        <f t="shared" si="134"/>
        <v>0</v>
      </c>
    </row>
    <row r="160" spans="3:24" s="101" customFormat="1" ht="20.100000000000001" customHeight="1">
      <c r="C160" s="899"/>
      <c r="D160" s="1103">
        <v>7</v>
      </c>
      <c r="E160" s="1103" t="s">
        <v>100</v>
      </c>
      <c r="F160" s="900" t="s">
        <v>641</v>
      </c>
      <c r="G160" s="1650">
        <f>1/20</f>
        <v>0.05</v>
      </c>
      <c r="H160" s="983" t="s">
        <v>689</v>
      </c>
      <c r="I160" s="1651">
        <f>(I157*G160)</f>
        <v>10</v>
      </c>
      <c r="J160" s="1652">
        <f>AVERAGE(M161:X161)</f>
        <v>15</v>
      </c>
      <c r="K160" s="901" t="s">
        <v>682</v>
      </c>
      <c r="L160" s="911">
        <f>SUM(M160:X160)</f>
        <v>200</v>
      </c>
      <c r="M160" s="912">
        <f t="shared" ref="M160:X160" si="135">(M157*$G160)</f>
        <v>0</v>
      </c>
      <c r="N160" s="913">
        <f t="shared" si="135"/>
        <v>0</v>
      </c>
      <c r="O160" s="913">
        <f t="shared" si="135"/>
        <v>0</v>
      </c>
      <c r="P160" s="913">
        <f t="shared" si="135"/>
        <v>200</v>
      </c>
      <c r="Q160" s="913">
        <f t="shared" si="135"/>
        <v>0</v>
      </c>
      <c r="R160" s="913">
        <f t="shared" si="135"/>
        <v>0</v>
      </c>
      <c r="S160" s="913">
        <f t="shared" si="135"/>
        <v>0</v>
      </c>
      <c r="T160" s="913">
        <f t="shared" si="135"/>
        <v>0</v>
      </c>
      <c r="U160" s="913">
        <f t="shared" si="135"/>
        <v>0</v>
      </c>
      <c r="V160" s="913">
        <f t="shared" si="135"/>
        <v>0</v>
      </c>
      <c r="W160" s="913">
        <f t="shared" si="135"/>
        <v>0</v>
      </c>
      <c r="X160" s="914">
        <f t="shared" si="135"/>
        <v>0</v>
      </c>
    </row>
    <row r="161" spans="3:24" s="101" customFormat="1" ht="20.100000000000001" customHeight="1">
      <c r="C161" s="899"/>
      <c r="D161" s="1103">
        <v>7</v>
      </c>
      <c r="E161" s="1103" t="s">
        <v>100</v>
      </c>
      <c r="F161" s="900" t="s">
        <v>641</v>
      </c>
      <c r="G161" s="1650"/>
      <c r="H161" s="983" t="s">
        <v>689</v>
      </c>
      <c r="I161" s="1651"/>
      <c r="J161" s="1652"/>
      <c r="K161" s="901" t="s">
        <v>688</v>
      </c>
      <c r="L161" s="911"/>
      <c r="M161" s="970">
        <v>15</v>
      </c>
      <c r="N161" s="970">
        <v>15</v>
      </c>
      <c r="O161" s="970">
        <v>15</v>
      </c>
      <c r="P161" s="970">
        <v>15</v>
      </c>
      <c r="Q161" s="970">
        <v>15</v>
      </c>
      <c r="R161" s="970">
        <v>15</v>
      </c>
      <c r="S161" s="970">
        <v>15</v>
      </c>
      <c r="T161" s="970">
        <v>15</v>
      </c>
      <c r="U161" s="970"/>
      <c r="V161" s="970"/>
      <c r="W161" s="970">
        <v>15</v>
      </c>
      <c r="X161" s="976">
        <v>15</v>
      </c>
    </row>
    <row r="162" spans="3:24" s="101" customFormat="1" ht="20.100000000000001" customHeight="1">
      <c r="C162" s="899"/>
      <c r="D162" s="1103">
        <v>7</v>
      </c>
      <c r="E162" s="1103" t="s">
        <v>100</v>
      </c>
      <c r="F162" s="900" t="s">
        <v>641</v>
      </c>
      <c r="G162" s="1650"/>
      <c r="H162" s="983" t="s">
        <v>689</v>
      </c>
      <c r="I162" s="1651"/>
      <c r="J162" s="1652"/>
      <c r="K162" s="901" t="s">
        <v>569</v>
      </c>
      <c r="L162" s="902">
        <f>SUM(M162:X162)</f>
        <v>3000</v>
      </c>
      <c r="M162" s="927">
        <f>(M160*M161)</f>
        <v>0</v>
      </c>
      <c r="N162" s="903">
        <f t="shared" ref="N162:X162" si="136">(N160*N161)</f>
        <v>0</v>
      </c>
      <c r="O162" s="903">
        <f t="shared" si="136"/>
        <v>0</v>
      </c>
      <c r="P162" s="903">
        <f t="shared" si="136"/>
        <v>3000</v>
      </c>
      <c r="Q162" s="903">
        <f t="shared" si="136"/>
        <v>0</v>
      </c>
      <c r="R162" s="903">
        <f t="shared" si="136"/>
        <v>0</v>
      </c>
      <c r="S162" s="903">
        <f t="shared" si="136"/>
        <v>0</v>
      </c>
      <c r="T162" s="903">
        <f t="shared" si="136"/>
        <v>0</v>
      </c>
      <c r="U162" s="903">
        <f t="shared" si="136"/>
        <v>0</v>
      </c>
      <c r="V162" s="903">
        <f t="shared" si="136"/>
        <v>0</v>
      </c>
      <c r="W162" s="903">
        <f t="shared" si="136"/>
        <v>0</v>
      </c>
      <c r="X162" s="904">
        <f t="shared" si="136"/>
        <v>0</v>
      </c>
    </row>
    <row r="163" spans="3:24" s="101" customFormat="1" ht="20.100000000000001" customHeight="1">
      <c r="C163" s="899"/>
      <c r="D163" s="1109">
        <v>9</v>
      </c>
      <c r="E163" s="1109" t="s">
        <v>100</v>
      </c>
      <c r="F163" s="900" t="s">
        <v>51</v>
      </c>
      <c r="G163" s="1650">
        <f>1/20</f>
        <v>0.05</v>
      </c>
      <c r="H163" s="983" t="s">
        <v>690</v>
      </c>
      <c r="I163" s="1651">
        <f>(I160*G163)</f>
        <v>0.5</v>
      </c>
      <c r="J163" s="1652" t="e">
        <f>AVERAGE(M164:X164)</f>
        <v>#DIV/0!</v>
      </c>
      <c r="K163" s="901" t="s">
        <v>682</v>
      </c>
      <c r="L163" s="911">
        <f>SUM(M163:X163)</f>
        <v>200</v>
      </c>
      <c r="M163" s="912">
        <f>(M157*$G163)</f>
        <v>0</v>
      </c>
      <c r="N163" s="913">
        <f t="shared" ref="N163:X163" si="137">(N157*$G163)</f>
        <v>0</v>
      </c>
      <c r="O163" s="913">
        <f t="shared" si="137"/>
        <v>0</v>
      </c>
      <c r="P163" s="913">
        <f t="shared" si="137"/>
        <v>200</v>
      </c>
      <c r="Q163" s="913">
        <f t="shared" si="137"/>
        <v>0</v>
      </c>
      <c r="R163" s="913">
        <f t="shared" si="137"/>
        <v>0</v>
      </c>
      <c r="S163" s="913">
        <f t="shared" si="137"/>
        <v>0</v>
      </c>
      <c r="T163" s="913">
        <f t="shared" si="137"/>
        <v>0</v>
      </c>
      <c r="U163" s="913">
        <f t="shared" si="137"/>
        <v>0</v>
      </c>
      <c r="V163" s="913">
        <f t="shared" si="137"/>
        <v>0</v>
      </c>
      <c r="W163" s="913">
        <f t="shared" si="137"/>
        <v>0</v>
      </c>
      <c r="X163" s="914">
        <f t="shared" si="137"/>
        <v>0</v>
      </c>
    </row>
    <row r="164" spans="3:24" s="101" customFormat="1" ht="20.100000000000001" customHeight="1">
      <c r="C164" s="899"/>
      <c r="D164" s="1109">
        <v>9</v>
      </c>
      <c r="E164" s="1109" t="s">
        <v>100</v>
      </c>
      <c r="F164" s="900" t="s">
        <v>51</v>
      </c>
      <c r="G164" s="1650"/>
      <c r="H164" s="983" t="s">
        <v>690</v>
      </c>
      <c r="I164" s="1651"/>
      <c r="J164" s="1652"/>
      <c r="K164" s="901" t="s">
        <v>688</v>
      </c>
      <c r="L164" s="911"/>
      <c r="M164" s="234"/>
      <c r="N164" s="970"/>
      <c r="O164" s="970"/>
      <c r="P164" s="970"/>
      <c r="Q164" s="970"/>
      <c r="R164" s="970"/>
      <c r="S164" s="970"/>
      <c r="T164" s="970"/>
      <c r="U164" s="970"/>
      <c r="V164" s="970"/>
      <c r="W164" s="970"/>
      <c r="X164" s="976"/>
    </row>
    <row r="165" spans="3:24" s="101" customFormat="1" ht="20.100000000000001" customHeight="1">
      <c r="C165" s="899"/>
      <c r="D165" s="1109">
        <v>9</v>
      </c>
      <c r="E165" s="1109" t="s">
        <v>100</v>
      </c>
      <c r="F165" s="900" t="s">
        <v>51</v>
      </c>
      <c r="G165" s="1650"/>
      <c r="H165" s="983" t="s">
        <v>690</v>
      </c>
      <c r="I165" s="1651"/>
      <c r="J165" s="1652"/>
      <c r="K165" s="901" t="s">
        <v>569</v>
      </c>
      <c r="L165" s="902">
        <f>SUM(M165:X165)</f>
        <v>0</v>
      </c>
      <c r="M165" s="927">
        <f>(M163*M164)</f>
        <v>0</v>
      </c>
      <c r="N165" s="903">
        <f t="shared" ref="N165:X165" si="138">(N163*N164)</f>
        <v>0</v>
      </c>
      <c r="O165" s="903">
        <f t="shared" si="138"/>
        <v>0</v>
      </c>
      <c r="P165" s="903">
        <f t="shared" si="138"/>
        <v>0</v>
      </c>
      <c r="Q165" s="903">
        <f t="shared" si="138"/>
        <v>0</v>
      </c>
      <c r="R165" s="903">
        <f t="shared" si="138"/>
        <v>0</v>
      </c>
      <c r="S165" s="903">
        <f t="shared" si="138"/>
        <v>0</v>
      </c>
      <c r="T165" s="903">
        <f t="shared" si="138"/>
        <v>0</v>
      </c>
      <c r="U165" s="903">
        <f t="shared" si="138"/>
        <v>0</v>
      </c>
      <c r="V165" s="903">
        <f t="shared" si="138"/>
        <v>0</v>
      </c>
      <c r="W165" s="903">
        <f t="shared" si="138"/>
        <v>0</v>
      </c>
      <c r="X165" s="904">
        <f t="shared" si="138"/>
        <v>0</v>
      </c>
    </row>
    <row r="166" spans="3:24" ht="20.100000000000001" customHeight="1">
      <c r="C166" s="899"/>
      <c r="D166" s="1103">
        <v>8</v>
      </c>
      <c r="E166" s="1103" t="s">
        <v>100</v>
      </c>
      <c r="F166" s="900" t="s">
        <v>641</v>
      </c>
      <c r="G166" s="943">
        <f>1/20</f>
        <v>0.05</v>
      </c>
      <c r="H166" s="672" t="s">
        <v>683</v>
      </c>
      <c r="I166" s="1651">
        <f>(I157*G166)</f>
        <v>10</v>
      </c>
      <c r="J166" s="1665">
        <f>AVERAGE(M167:X167)</f>
        <v>131.07999999999996</v>
      </c>
      <c r="K166" s="926" t="s">
        <v>682</v>
      </c>
      <c r="L166" s="911">
        <f>SUM(M166:X166)</f>
        <v>200</v>
      </c>
      <c r="M166" s="929">
        <f t="shared" ref="M166:X166" si="139">(M157*$G166)</f>
        <v>0</v>
      </c>
      <c r="N166" s="930">
        <f t="shared" si="139"/>
        <v>0</v>
      </c>
      <c r="O166" s="930">
        <f t="shared" si="139"/>
        <v>0</v>
      </c>
      <c r="P166" s="930">
        <f t="shared" si="139"/>
        <v>200</v>
      </c>
      <c r="Q166" s="930">
        <f t="shared" si="139"/>
        <v>0</v>
      </c>
      <c r="R166" s="930">
        <f t="shared" si="139"/>
        <v>0</v>
      </c>
      <c r="S166" s="930">
        <f t="shared" si="139"/>
        <v>0</v>
      </c>
      <c r="T166" s="930">
        <f t="shared" si="139"/>
        <v>0</v>
      </c>
      <c r="U166" s="930">
        <f t="shared" si="139"/>
        <v>0</v>
      </c>
      <c r="V166" s="930">
        <f t="shared" si="139"/>
        <v>0</v>
      </c>
      <c r="W166" s="930">
        <f t="shared" si="139"/>
        <v>0</v>
      </c>
      <c r="X166" s="931">
        <f t="shared" si="139"/>
        <v>0</v>
      </c>
    </row>
    <row r="167" spans="3:24" ht="20.100000000000001" customHeight="1">
      <c r="C167" s="964"/>
      <c r="D167" s="965">
        <v>8</v>
      </c>
      <c r="E167" s="965" t="s">
        <v>100</v>
      </c>
      <c r="F167" s="966" t="s">
        <v>641</v>
      </c>
      <c r="G167" s="969"/>
      <c r="H167" s="967" t="s">
        <v>683</v>
      </c>
      <c r="I167" s="1676"/>
      <c r="J167" s="1633"/>
      <c r="K167" s="968" t="s">
        <v>688</v>
      </c>
      <c r="L167" s="947"/>
      <c r="M167" s="970">
        <f>113*1.16</f>
        <v>131.07999999999998</v>
      </c>
      <c r="N167" s="970">
        <f t="shared" ref="N167:X167" si="140">113*1.16</f>
        <v>131.07999999999998</v>
      </c>
      <c r="O167" s="970">
        <f t="shared" si="140"/>
        <v>131.07999999999998</v>
      </c>
      <c r="P167" s="970">
        <f t="shared" si="140"/>
        <v>131.07999999999998</v>
      </c>
      <c r="Q167" s="970">
        <f t="shared" si="140"/>
        <v>131.07999999999998</v>
      </c>
      <c r="R167" s="970">
        <f t="shared" si="140"/>
        <v>131.07999999999998</v>
      </c>
      <c r="S167" s="970">
        <f t="shared" si="140"/>
        <v>131.07999999999998</v>
      </c>
      <c r="T167" s="970">
        <f t="shared" si="140"/>
        <v>131.07999999999998</v>
      </c>
      <c r="U167" s="970"/>
      <c r="V167" s="970"/>
      <c r="W167" s="970">
        <f t="shared" si="140"/>
        <v>131.07999999999998</v>
      </c>
      <c r="X167" s="976">
        <f t="shared" si="140"/>
        <v>131.07999999999998</v>
      </c>
    </row>
    <row r="168" spans="3:24" ht="19.5" customHeight="1" thickBot="1">
      <c r="C168" s="885"/>
      <c r="D168" s="1104">
        <v>8</v>
      </c>
      <c r="E168" s="1104" t="s">
        <v>100</v>
      </c>
      <c r="F168" s="887" t="s">
        <v>641</v>
      </c>
      <c r="G168" s="944">
        <f>1/20</f>
        <v>0.05</v>
      </c>
      <c r="H168" s="915" t="s">
        <v>683</v>
      </c>
      <c r="I168" s="1674"/>
      <c r="J168" s="1658"/>
      <c r="K168" s="937" t="s">
        <v>569</v>
      </c>
      <c r="L168" s="916">
        <f>SUM(M168:X168)</f>
        <v>26215.999999999996</v>
      </c>
      <c r="M168" s="938">
        <f>(M166*M167)</f>
        <v>0</v>
      </c>
      <c r="N168" s="917">
        <f t="shared" ref="N168:X168" si="141">(N166*N167)</f>
        <v>0</v>
      </c>
      <c r="O168" s="917">
        <f t="shared" si="141"/>
        <v>0</v>
      </c>
      <c r="P168" s="917">
        <f t="shared" si="141"/>
        <v>26215.999999999996</v>
      </c>
      <c r="Q168" s="917">
        <f t="shared" si="141"/>
        <v>0</v>
      </c>
      <c r="R168" s="917">
        <f t="shared" si="141"/>
        <v>0</v>
      </c>
      <c r="S168" s="917">
        <f t="shared" si="141"/>
        <v>0</v>
      </c>
      <c r="T168" s="917">
        <f t="shared" si="141"/>
        <v>0</v>
      </c>
      <c r="U168" s="917">
        <f t="shared" si="141"/>
        <v>0</v>
      </c>
      <c r="V168" s="917">
        <f t="shared" si="141"/>
        <v>0</v>
      </c>
      <c r="W168" s="917">
        <f t="shared" si="141"/>
        <v>0</v>
      </c>
      <c r="X168" s="918">
        <f t="shared" si="141"/>
        <v>0</v>
      </c>
    </row>
    <row r="169" spans="3:24" ht="20.100000000000001" customHeight="1" collapsed="1">
      <c r="C169" s="878">
        <v>4</v>
      </c>
      <c r="D169" s="879">
        <v>0</v>
      </c>
      <c r="E169" s="879" t="s">
        <v>242</v>
      </c>
      <c r="F169" s="880" t="s">
        <v>3</v>
      </c>
      <c r="G169" s="1617"/>
      <c r="H169" s="1617"/>
      <c r="I169" s="1619">
        <v>100</v>
      </c>
      <c r="J169" s="1621">
        <f>AVERAGE(M170:X170)</f>
        <v>7.3039999999999985</v>
      </c>
      <c r="K169" s="881" t="s">
        <v>682</v>
      </c>
      <c r="L169" s="1097">
        <f>SUM(M169:X169)</f>
        <v>1500</v>
      </c>
      <c r="M169" s="987">
        <f t="shared" ref="M169:X169" si="142">(M70)</f>
        <v>0</v>
      </c>
      <c r="N169" s="883">
        <f t="shared" si="142"/>
        <v>0</v>
      </c>
      <c r="O169" s="883">
        <f t="shared" si="142"/>
        <v>0</v>
      </c>
      <c r="P169" s="883">
        <f t="shared" si="142"/>
        <v>0</v>
      </c>
      <c r="Q169" s="883">
        <f t="shared" si="142"/>
        <v>0</v>
      </c>
      <c r="R169" s="883">
        <f t="shared" si="142"/>
        <v>1500</v>
      </c>
      <c r="S169" s="883">
        <f t="shared" si="142"/>
        <v>0</v>
      </c>
      <c r="T169" s="883">
        <f t="shared" si="142"/>
        <v>0</v>
      </c>
      <c r="U169" s="883">
        <f t="shared" si="142"/>
        <v>0</v>
      </c>
      <c r="V169" s="883">
        <f t="shared" si="142"/>
        <v>0</v>
      </c>
      <c r="W169" s="883">
        <f t="shared" si="142"/>
        <v>0</v>
      </c>
      <c r="X169" s="991">
        <f t="shared" si="142"/>
        <v>0</v>
      </c>
    </row>
    <row r="170" spans="3:24" ht="20.100000000000001" customHeight="1">
      <c r="C170" s="948"/>
      <c r="D170" s="1102">
        <v>0</v>
      </c>
      <c r="E170" s="1102" t="s">
        <v>242</v>
      </c>
      <c r="F170" s="950" t="s">
        <v>3</v>
      </c>
      <c r="G170" s="1617"/>
      <c r="H170" s="1617"/>
      <c r="I170" s="1619"/>
      <c r="J170" s="1621"/>
      <c r="K170" s="881" t="s">
        <v>688</v>
      </c>
      <c r="L170" s="952"/>
      <c r="M170" s="970"/>
      <c r="N170" s="970"/>
      <c r="O170" s="970"/>
      <c r="P170" s="970"/>
      <c r="Q170" s="970"/>
      <c r="R170" s="970">
        <f t="shared" ref="R170" si="143">(R171/R169)</f>
        <v>7.3039999999999985</v>
      </c>
      <c r="S170" s="970"/>
      <c r="T170" s="970"/>
      <c r="U170" s="970"/>
      <c r="V170" s="970"/>
      <c r="W170" s="970"/>
      <c r="X170" s="976"/>
    </row>
    <row r="171" spans="3:24" ht="20.100000000000001" customHeight="1" thickBot="1">
      <c r="C171" s="885"/>
      <c r="D171" s="1104">
        <v>0</v>
      </c>
      <c r="E171" s="1104" t="s">
        <v>242</v>
      </c>
      <c r="F171" s="887" t="s">
        <v>3</v>
      </c>
      <c r="G171" s="1618"/>
      <c r="H171" s="1618"/>
      <c r="I171" s="1620"/>
      <c r="J171" s="1622"/>
      <c r="K171" s="888" t="s">
        <v>569</v>
      </c>
      <c r="L171" s="889">
        <f>SUM(M171:X171)</f>
        <v>10955.999999999998</v>
      </c>
      <c r="M171" s="919">
        <f>SUM(+M174+M177)</f>
        <v>0</v>
      </c>
      <c r="N171" s="974">
        <f t="shared" ref="N171:X171" si="144">SUM(+N174+N177)</f>
        <v>0</v>
      </c>
      <c r="O171" s="974">
        <f t="shared" si="144"/>
        <v>0</v>
      </c>
      <c r="P171" s="974">
        <f t="shared" si="144"/>
        <v>0</v>
      </c>
      <c r="Q171" s="974">
        <f t="shared" si="144"/>
        <v>0</v>
      </c>
      <c r="R171" s="974">
        <f t="shared" si="144"/>
        <v>10955.999999999998</v>
      </c>
      <c r="S171" s="974">
        <f t="shared" si="144"/>
        <v>0</v>
      </c>
      <c r="T171" s="974">
        <f t="shared" si="144"/>
        <v>0</v>
      </c>
      <c r="U171" s="974">
        <f t="shared" si="144"/>
        <v>0</v>
      </c>
      <c r="V171" s="974">
        <f t="shared" si="144"/>
        <v>0</v>
      </c>
      <c r="W171" s="974">
        <f t="shared" si="144"/>
        <v>0</v>
      </c>
      <c r="X171" s="975">
        <f t="shared" si="144"/>
        <v>0</v>
      </c>
    </row>
    <row r="172" spans="3:24" s="101" customFormat="1" ht="20.100000000000001" customHeight="1">
      <c r="C172" s="899"/>
      <c r="D172" s="1103">
        <v>6</v>
      </c>
      <c r="E172" s="1103" t="s">
        <v>100</v>
      </c>
      <c r="F172" s="900" t="s">
        <v>3</v>
      </c>
      <c r="G172" s="1650">
        <f>1/20</f>
        <v>0.05</v>
      </c>
      <c r="H172" s="983" t="s">
        <v>689</v>
      </c>
      <c r="I172" s="1651">
        <f>(I169*G172)</f>
        <v>5</v>
      </c>
      <c r="J172" s="1652">
        <f>AVERAGE(M173:X173)</f>
        <v>15</v>
      </c>
      <c r="K172" s="901" t="s">
        <v>682</v>
      </c>
      <c r="L172" s="911">
        <f>SUM(M172:X172)</f>
        <v>75</v>
      </c>
      <c r="M172" s="912">
        <f t="shared" ref="M172:X172" si="145">(M169*$G172)</f>
        <v>0</v>
      </c>
      <c r="N172" s="913">
        <f t="shared" si="145"/>
        <v>0</v>
      </c>
      <c r="O172" s="913">
        <f t="shared" si="145"/>
        <v>0</v>
      </c>
      <c r="P172" s="913">
        <f t="shared" si="145"/>
        <v>0</v>
      </c>
      <c r="Q172" s="913">
        <f t="shared" si="145"/>
        <v>0</v>
      </c>
      <c r="R172" s="913">
        <f t="shared" si="145"/>
        <v>75</v>
      </c>
      <c r="S172" s="913">
        <f t="shared" si="145"/>
        <v>0</v>
      </c>
      <c r="T172" s="913">
        <f t="shared" si="145"/>
        <v>0</v>
      </c>
      <c r="U172" s="913">
        <f t="shared" si="145"/>
        <v>0</v>
      </c>
      <c r="V172" s="913">
        <f t="shared" si="145"/>
        <v>0</v>
      </c>
      <c r="W172" s="913">
        <f t="shared" si="145"/>
        <v>0</v>
      </c>
      <c r="X172" s="914">
        <f t="shared" si="145"/>
        <v>0</v>
      </c>
    </row>
    <row r="173" spans="3:24" s="101" customFormat="1" ht="20.100000000000001" customHeight="1">
      <c r="C173" s="899"/>
      <c r="D173" s="1103">
        <v>6</v>
      </c>
      <c r="E173" s="1103" t="s">
        <v>100</v>
      </c>
      <c r="F173" s="900" t="s">
        <v>3</v>
      </c>
      <c r="G173" s="1650"/>
      <c r="H173" s="983" t="s">
        <v>689</v>
      </c>
      <c r="I173" s="1651"/>
      <c r="J173" s="1652"/>
      <c r="K173" s="901" t="s">
        <v>688</v>
      </c>
      <c r="L173" s="911"/>
      <c r="M173" s="970"/>
      <c r="N173" s="970"/>
      <c r="O173" s="970"/>
      <c r="P173" s="970"/>
      <c r="Q173" s="970"/>
      <c r="R173" s="970">
        <v>15</v>
      </c>
      <c r="S173" s="970"/>
      <c r="T173" s="970"/>
      <c r="U173" s="970"/>
      <c r="V173" s="970"/>
      <c r="W173" s="970"/>
      <c r="X173" s="976"/>
    </row>
    <row r="174" spans="3:24" s="101" customFormat="1" ht="20.100000000000001" customHeight="1">
      <c r="C174" s="899"/>
      <c r="D174" s="1103">
        <v>6</v>
      </c>
      <c r="E174" s="1103" t="s">
        <v>100</v>
      </c>
      <c r="F174" s="900" t="s">
        <v>3</v>
      </c>
      <c r="G174" s="1650"/>
      <c r="H174" s="983" t="s">
        <v>689</v>
      </c>
      <c r="I174" s="1651"/>
      <c r="J174" s="1652"/>
      <c r="K174" s="901" t="s">
        <v>569</v>
      </c>
      <c r="L174" s="902">
        <f>SUM(M174:X174)</f>
        <v>1125</v>
      </c>
      <c r="M174" s="927">
        <f>(M172*M173)</f>
        <v>0</v>
      </c>
      <c r="N174" s="903">
        <f t="shared" ref="N174:X174" si="146">(N172*N173)</f>
        <v>0</v>
      </c>
      <c r="O174" s="903">
        <f t="shared" si="146"/>
        <v>0</v>
      </c>
      <c r="P174" s="903">
        <f t="shared" si="146"/>
        <v>0</v>
      </c>
      <c r="Q174" s="903">
        <f t="shared" si="146"/>
        <v>0</v>
      </c>
      <c r="R174" s="903">
        <f t="shared" si="146"/>
        <v>1125</v>
      </c>
      <c r="S174" s="903">
        <f t="shared" si="146"/>
        <v>0</v>
      </c>
      <c r="T174" s="903">
        <f t="shared" si="146"/>
        <v>0</v>
      </c>
      <c r="U174" s="903">
        <f t="shared" si="146"/>
        <v>0</v>
      </c>
      <c r="V174" s="903">
        <f t="shared" si="146"/>
        <v>0</v>
      </c>
      <c r="W174" s="903">
        <f t="shared" si="146"/>
        <v>0</v>
      </c>
      <c r="X174" s="904">
        <f t="shared" si="146"/>
        <v>0</v>
      </c>
    </row>
    <row r="175" spans="3:24" ht="20.100000000000001" customHeight="1">
      <c r="C175" s="899"/>
      <c r="D175" s="1103">
        <v>7</v>
      </c>
      <c r="E175" s="1103" t="s">
        <v>100</v>
      </c>
      <c r="F175" s="900" t="s">
        <v>3</v>
      </c>
      <c r="G175" s="1650">
        <f>1/20</f>
        <v>0.05</v>
      </c>
      <c r="H175" s="983" t="s">
        <v>683</v>
      </c>
      <c r="I175" s="1651">
        <f>(I169*G175)</f>
        <v>5</v>
      </c>
      <c r="J175" s="1636">
        <f>AVERAGE(M176:X176)</f>
        <v>131.07999999999998</v>
      </c>
      <c r="K175" s="926" t="s">
        <v>682</v>
      </c>
      <c r="L175" s="911">
        <f t="shared" ref="L175" si="147">SUM(M175:X175)</f>
        <v>75</v>
      </c>
      <c r="M175" s="929">
        <f t="shared" ref="M175:X175" si="148">(M169*$G175)</f>
        <v>0</v>
      </c>
      <c r="N175" s="930">
        <f t="shared" si="148"/>
        <v>0</v>
      </c>
      <c r="O175" s="930">
        <f t="shared" si="148"/>
        <v>0</v>
      </c>
      <c r="P175" s="930">
        <f t="shared" si="148"/>
        <v>0</v>
      </c>
      <c r="Q175" s="930">
        <f t="shared" si="148"/>
        <v>0</v>
      </c>
      <c r="R175" s="930">
        <f t="shared" si="148"/>
        <v>75</v>
      </c>
      <c r="S175" s="930">
        <f t="shared" si="148"/>
        <v>0</v>
      </c>
      <c r="T175" s="930">
        <f t="shared" si="148"/>
        <v>0</v>
      </c>
      <c r="U175" s="930">
        <f t="shared" si="148"/>
        <v>0</v>
      </c>
      <c r="V175" s="930">
        <f t="shared" si="148"/>
        <v>0</v>
      </c>
      <c r="W175" s="930">
        <f t="shared" si="148"/>
        <v>0</v>
      </c>
      <c r="X175" s="931">
        <f t="shared" si="148"/>
        <v>0</v>
      </c>
    </row>
    <row r="176" spans="3:24" ht="20.100000000000001" customHeight="1">
      <c r="C176" s="978"/>
      <c r="D176" s="1106">
        <v>7</v>
      </c>
      <c r="E176" s="1106" t="s">
        <v>100</v>
      </c>
      <c r="F176" s="979" t="s">
        <v>3</v>
      </c>
      <c r="G176" s="1677"/>
      <c r="H176" s="985" t="s">
        <v>683</v>
      </c>
      <c r="I176" s="1678"/>
      <c r="J176" s="1633"/>
      <c r="K176" s="980" t="s">
        <v>688</v>
      </c>
      <c r="L176" s="977"/>
      <c r="M176" s="970"/>
      <c r="N176" s="970"/>
      <c r="O176" s="970"/>
      <c r="P176" s="970"/>
      <c r="Q176" s="970"/>
      <c r="R176" s="970">
        <f t="shared" ref="R176" si="149">113*1.16</f>
        <v>131.07999999999998</v>
      </c>
      <c r="S176" s="970"/>
      <c r="T176" s="970"/>
      <c r="U176" s="970"/>
      <c r="V176" s="970"/>
      <c r="W176" s="970"/>
      <c r="X176" s="976"/>
    </row>
    <row r="177" spans="3:24" ht="20.100000000000001" customHeight="1" thickBot="1">
      <c r="C177" s="885"/>
      <c r="D177" s="1104">
        <v>7</v>
      </c>
      <c r="E177" s="1104" t="s">
        <v>100</v>
      </c>
      <c r="F177" s="887" t="s">
        <v>3</v>
      </c>
      <c r="G177" s="1673"/>
      <c r="H177" s="986" t="s">
        <v>683</v>
      </c>
      <c r="I177" s="1674"/>
      <c r="J177" s="1658"/>
      <c r="K177" s="937" t="s">
        <v>569</v>
      </c>
      <c r="L177" s="916">
        <f t="shared" ref="L177" si="150">SUM(M177:X177)</f>
        <v>9830.9999999999982</v>
      </c>
      <c r="M177" s="938">
        <f t="shared" ref="M177:X177" si="151">(M175*M176)</f>
        <v>0</v>
      </c>
      <c r="N177" s="917">
        <f t="shared" si="151"/>
        <v>0</v>
      </c>
      <c r="O177" s="917">
        <f t="shared" si="151"/>
        <v>0</v>
      </c>
      <c r="P177" s="917">
        <f t="shared" si="151"/>
        <v>0</v>
      </c>
      <c r="Q177" s="917">
        <f t="shared" si="151"/>
        <v>0</v>
      </c>
      <c r="R177" s="917">
        <f t="shared" si="151"/>
        <v>9830.9999999999982</v>
      </c>
      <c r="S177" s="917">
        <f t="shared" si="151"/>
        <v>0</v>
      </c>
      <c r="T177" s="917">
        <f t="shared" si="151"/>
        <v>0</v>
      </c>
      <c r="U177" s="917">
        <f t="shared" si="151"/>
        <v>0</v>
      </c>
      <c r="V177" s="917">
        <f t="shared" si="151"/>
        <v>0</v>
      </c>
      <c r="W177" s="917">
        <f t="shared" si="151"/>
        <v>0</v>
      </c>
      <c r="X177" s="918">
        <f t="shared" si="151"/>
        <v>0</v>
      </c>
    </row>
    <row r="178" spans="3:24" collapsed="1"/>
    <row r="179" spans="3:24" ht="15.75" thickBot="1">
      <c r="F179" s="860" t="e">
        <f>(#REF!+#REF!+#REF!+#REF!)</f>
        <v>#REF!</v>
      </c>
      <c r="G179" s="860"/>
      <c r="H179" s="861"/>
      <c r="I179" s="860"/>
      <c r="J179" s="860"/>
      <c r="K179" s="102"/>
      <c r="L179" s="1099">
        <f>SUBTOTAL(9,L184:L225)</f>
        <v>254909.59999999995</v>
      </c>
      <c r="M179" s="1099">
        <f>SUBTOTAL(9,M184:M186)</f>
        <v>27755.199999999997</v>
      </c>
      <c r="N179" s="1099">
        <f t="shared" ref="N179:X179" si="152">SUBTOTAL(9,N184:N225)</f>
        <v>16068.8</v>
      </c>
      <c r="O179" s="1099">
        <f t="shared" si="152"/>
        <v>16068.799999999997</v>
      </c>
      <c r="P179" s="1099">
        <f t="shared" si="152"/>
        <v>35059.199999999997</v>
      </c>
      <c r="Q179" s="1099">
        <f t="shared" si="152"/>
        <v>17529.599999999999</v>
      </c>
      <c r="R179" s="1099">
        <f t="shared" si="152"/>
        <v>28485.599999999999</v>
      </c>
      <c r="S179" s="1099">
        <f t="shared" si="152"/>
        <v>18990.399999999998</v>
      </c>
      <c r="T179" s="1099">
        <f t="shared" si="152"/>
        <v>18990.399999999998</v>
      </c>
      <c r="U179" s="1099">
        <f t="shared" si="152"/>
        <v>18990.399999999998</v>
      </c>
      <c r="V179" s="1099">
        <f t="shared" si="152"/>
        <v>18990.399999999998</v>
      </c>
      <c r="W179" s="1099">
        <f t="shared" si="152"/>
        <v>18990.399999999998</v>
      </c>
      <c r="X179" s="1099">
        <f t="shared" si="152"/>
        <v>18990.399999999998</v>
      </c>
    </row>
    <row r="180" spans="3:24">
      <c r="C180" s="1605" t="s">
        <v>0</v>
      </c>
      <c r="D180" s="1608" t="s">
        <v>94</v>
      </c>
      <c r="E180" s="1608" t="s">
        <v>664</v>
      </c>
      <c r="F180" s="1608" t="s">
        <v>2</v>
      </c>
      <c r="G180" s="1608" t="s">
        <v>665</v>
      </c>
      <c r="H180" s="1623" t="s">
        <v>666</v>
      </c>
      <c r="I180" s="1611" t="s">
        <v>667</v>
      </c>
      <c r="J180" s="1611" t="s">
        <v>668</v>
      </c>
      <c r="K180" s="1614" t="s">
        <v>687</v>
      </c>
      <c r="L180" s="1614" t="s">
        <v>669</v>
      </c>
      <c r="M180" s="863" t="s">
        <v>670</v>
      </c>
      <c r="N180" s="864" t="s">
        <v>671</v>
      </c>
      <c r="O180" s="863" t="s">
        <v>672</v>
      </c>
      <c r="P180" s="864" t="s">
        <v>673</v>
      </c>
      <c r="Q180" s="863" t="s">
        <v>674</v>
      </c>
      <c r="R180" s="864" t="s">
        <v>675</v>
      </c>
      <c r="S180" s="863" t="s">
        <v>676</v>
      </c>
      <c r="T180" s="864" t="s">
        <v>677</v>
      </c>
      <c r="U180" s="863" t="s">
        <v>678</v>
      </c>
      <c r="V180" s="864" t="s">
        <v>679</v>
      </c>
      <c r="W180" s="863" t="s">
        <v>680</v>
      </c>
      <c r="X180" s="865" t="s">
        <v>681</v>
      </c>
    </row>
    <row r="181" spans="3:24">
      <c r="C181" s="1606"/>
      <c r="D181" s="1609"/>
      <c r="E181" s="1609"/>
      <c r="F181" s="1609"/>
      <c r="G181" s="1609"/>
      <c r="H181" s="1624"/>
      <c r="I181" s="1612"/>
      <c r="J181" s="1612"/>
      <c r="K181" s="1615"/>
      <c r="L181" s="1615"/>
      <c r="M181" s="866">
        <f t="shared" ref="M181:X181" si="153">WEEKNUM(M182,21)</f>
        <v>1</v>
      </c>
      <c r="N181" s="867">
        <f t="shared" si="153"/>
        <v>5</v>
      </c>
      <c r="O181" s="866">
        <f t="shared" si="153"/>
        <v>9</v>
      </c>
      <c r="P181" s="867">
        <f t="shared" si="153"/>
        <v>14</v>
      </c>
      <c r="Q181" s="866">
        <f t="shared" si="153"/>
        <v>18</v>
      </c>
      <c r="R181" s="867">
        <f t="shared" si="153"/>
        <v>22</v>
      </c>
      <c r="S181" s="866">
        <f t="shared" si="153"/>
        <v>27</v>
      </c>
      <c r="T181" s="867">
        <f t="shared" si="153"/>
        <v>31</v>
      </c>
      <c r="U181" s="866">
        <f t="shared" si="153"/>
        <v>35</v>
      </c>
      <c r="V181" s="867">
        <f t="shared" si="153"/>
        <v>40</v>
      </c>
      <c r="W181" s="866">
        <f t="shared" si="153"/>
        <v>44</v>
      </c>
      <c r="X181" s="868">
        <f t="shared" si="153"/>
        <v>48</v>
      </c>
    </row>
    <row r="182" spans="3:24" ht="15.75" thickBot="1">
      <c r="C182" s="1607"/>
      <c r="D182" s="1610"/>
      <c r="E182" s="1610"/>
      <c r="F182" s="1610"/>
      <c r="G182" s="1610"/>
      <c r="H182" s="1625"/>
      <c r="I182" s="1613"/>
      <c r="J182" s="1613"/>
      <c r="K182" s="1616"/>
      <c r="L182" s="1616"/>
      <c r="M182" s="869">
        <v>45292</v>
      </c>
      <c r="N182" s="870">
        <v>45323</v>
      </c>
      <c r="O182" s="869">
        <v>45352</v>
      </c>
      <c r="P182" s="870">
        <v>45383</v>
      </c>
      <c r="Q182" s="869">
        <v>45413</v>
      </c>
      <c r="R182" s="870">
        <v>45444</v>
      </c>
      <c r="S182" s="869">
        <v>45474</v>
      </c>
      <c r="T182" s="870">
        <v>45505</v>
      </c>
      <c r="U182" s="869">
        <v>45536</v>
      </c>
      <c r="V182" s="870">
        <v>45566</v>
      </c>
      <c r="W182" s="869">
        <v>45597</v>
      </c>
      <c r="X182" s="871">
        <v>45627</v>
      </c>
    </row>
    <row r="184" spans="3:24" ht="21.75" customHeight="1">
      <c r="H184" s="983" t="s">
        <v>689</v>
      </c>
      <c r="J184" s="955">
        <v>15</v>
      </c>
      <c r="K184" s="900" t="s">
        <v>569</v>
      </c>
      <c r="L184" s="903">
        <f t="shared" ref="L184:L186" si="154">SUM(M184:X184)</f>
        <v>26175</v>
      </c>
      <c r="M184" s="903">
        <f>(M138+M150+M162+M174)</f>
        <v>2850</v>
      </c>
      <c r="N184" s="903">
        <f t="shared" ref="N184:X184" si="155">(N138+N150+N162+N174)</f>
        <v>1650</v>
      </c>
      <c r="O184" s="903">
        <f t="shared" si="155"/>
        <v>1650</v>
      </c>
      <c r="P184" s="903">
        <f t="shared" si="155"/>
        <v>3600</v>
      </c>
      <c r="Q184" s="903">
        <f t="shared" si="155"/>
        <v>1800</v>
      </c>
      <c r="R184" s="903">
        <f t="shared" si="155"/>
        <v>2925</v>
      </c>
      <c r="S184" s="903">
        <f t="shared" si="155"/>
        <v>1950</v>
      </c>
      <c r="T184" s="903">
        <f t="shared" si="155"/>
        <v>1950</v>
      </c>
      <c r="U184" s="903">
        <f t="shared" si="155"/>
        <v>1950</v>
      </c>
      <c r="V184" s="903">
        <f t="shared" si="155"/>
        <v>1950</v>
      </c>
      <c r="W184" s="903">
        <f t="shared" si="155"/>
        <v>1950</v>
      </c>
      <c r="X184" s="903">
        <f t="shared" si="155"/>
        <v>1950</v>
      </c>
    </row>
    <row r="185" spans="3:24" ht="21.95" customHeight="1">
      <c r="H185" s="983" t="s">
        <v>690</v>
      </c>
      <c r="J185" s="955">
        <v>6.7193333333333332</v>
      </c>
      <c r="K185" s="900" t="s">
        <v>569</v>
      </c>
      <c r="L185" s="903">
        <f>SUM(M185:X185)</f>
        <v>0</v>
      </c>
      <c r="M185" s="903">
        <f>(M141+M153+M165)</f>
        <v>0</v>
      </c>
      <c r="N185" s="903">
        <f t="shared" ref="N185:X185" si="156">(N141+N153+N165)</f>
        <v>0</v>
      </c>
      <c r="O185" s="903">
        <f t="shared" si="156"/>
        <v>0</v>
      </c>
      <c r="P185" s="903">
        <f t="shared" si="156"/>
        <v>0</v>
      </c>
      <c r="Q185" s="903">
        <f t="shared" si="156"/>
        <v>0</v>
      </c>
      <c r="R185" s="903">
        <f t="shared" si="156"/>
        <v>0</v>
      </c>
      <c r="S185" s="903">
        <f t="shared" si="156"/>
        <v>0</v>
      </c>
      <c r="T185" s="903">
        <f t="shared" si="156"/>
        <v>0</v>
      </c>
      <c r="U185" s="903">
        <f t="shared" si="156"/>
        <v>0</v>
      </c>
      <c r="V185" s="903">
        <f t="shared" si="156"/>
        <v>0</v>
      </c>
      <c r="W185" s="903">
        <f t="shared" si="156"/>
        <v>0</v>
      </c>
      <c r="X185" s="903">
        <f t="shared" si="156"/>
        <v>0</v>
      </c>
    </row>
    <row r="186" spans="3:24" ht="21.95" customHeight="1">
      <c r="H186" s="983" t="s">
        <v>683</v>
      </c>
      <c r="J186" s="955">
        <v>131.07999999999998</v>
      </c>
      <c r="K186" s="900" t="s">
        <v>569</v>
      </c>
      <c r="L186" s="903">
        <f t="shared" si="154"/>
        <v>228734.59999999995</v>
      </c>
      <c r="M186" s="903">
        <f>(M144+M156+M168+M177)</f>
        <v>24905.199999999997</v>
      </c>
      <c r="N186" s="903">
        <f t="shared" ref="N186:X186" si="157">(N144+N156+N168+N177)</f>
        <v>14418.8</v>
      </c>
      <c r="O186" s="903">
        <f t="shared" si="157"/>
        <v>14418.799999999997</v>
      </c>
      <c r="P186" s="903">
        <f t="shared" si="157"/>
        <v>31459.199999999997</v>
      </c>
      <c r="Q186" s="903">
        <f t="shared" si="157"/>
        <v>15729.599999999997</v>
      </c>
      <c r="R186" s="903">
        <f t="shared" si="157"/>
        <v>25560.6</v>
      </c>
      <c r="S186" s="903">
        <f t="shared" si="157"/>
        <v>17040.399999999998</v>
      </c>
      <c r="T186" s="903">
        <f t="shared" si="157"/>
        <v>17040.399999999998</v>
      </c>
      <c r="U186" s="903">
        <f t="shared" si="157"/>
        <v>17040.399999999998</v>
      </c>
      <c r="V186" s="903">
        <f t="shared" si="157"/>
        <v>17040.399999999998</v>
      </c>
      <c r="W186" s="903">
        <f t="shared" si="157"/>
        <v>17040.399999999998</v>
      </c>
      <c r="X186" s="903">
        <f t="shared" si="157"/>
        <v>17040.399999999998</v>
      </c>
    </row>
    <row r="187" spans="3:24" ht="21.95" customHeight="1"/>
    <row r="188" spans="3:24" ht="18" customHeight="1">
      <c r="F188" s="99"/>
    </row>
    <row r="189" spans="3:24" ht="18" customHeight="1">
      <c r="F189" s="99"/>
    </row>
    <row r="190" spans="3:24" ht="18" customHeight="1"/>
    <row r="191" spans="3:24" ht="18" customHeight="1"/>
    <row r="192" spans="3:24"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sheetData>
  <autoFilter ref="C9:X85" xr:uid="{B5A5BA3D-B042-4D12-A23E-55F014B3E546}">
    <filterColumn colId="3">
      <filters>
        <filter val="CT-CITRI"/>
        <filter val="MD-Citri"/>
      </filters>
    </filterColumn>
    <filterColumn colId="8">
      <filters>
        <filter val="VOL."/>
      </filters>
    </filterColumn>
  </autoFilter>
  <mergeCells count="155">
    <mergeCell ref="K180:K182"/>
    <mergeCell ref="L180:L182"/>
    <mergeCell ref="G172:G174"/>
    <mergeCell ref="I172:I174"/>
    <mergeCell ref="J172:J174"/>
    <mergeCell ref="G175:G177"/>
    <mergeCell ref="I175:I177"/>
    <mergeCell ref="J175:J177"/>
    <mergeCell ref="C180:C182"/>
    <mergeCell ref="D180:D182"/>
    <mergeCell ref="E180:E182"/>
    <mergeCell ref="F180:F182"/>
    <mergeCell ref="G180:G182"/>
    <mergeCell ref="H180:H182"/>
    <mergeCell ref="I180:I182"/>
    <mergeCell ref="J180:J182"/>
    <mergeCell ref="I166:I168"/>
    <mergeCell ref="J166:J168"/>
    <mergeCell ref="G169:G171"/>
    <mergeCell ref="H169:H171"/>
    <mergeCell ref="I169:I171"/>
    <mergeCell ref="J169:J171"/>
    <mergeCell ref="G160:G162"/>
    <mergeCell ref="I160:I162"/>
    <mergeCell ref="J160:J162"/>
    <mergeCell ref="G163:G165"/>
    <mergeCell ref="I163:I165"/>
    <mergeCell ref="J163:J165"/>
    <mergeCell ref="G154:G156"/>
    <mergeCell ref="I154:I156"/>
    <mergeCell ref="J154:J156"/>
    <mergeCell ref="G157:G159"/>
    <mergeCell ref="H157:H159"/>
    <mergeCell ref="I157:I159"/>
    <mergeCell ref="J157:J159"/>
    <mergeCell ref="G148:G150"/>
    <mergeCell ref="I148:I150"/>
    <mergeCell ref="J148:J150"/>
    <mergeCell ref="G151:G153"/>
    <mergeCell ref="I151:I153"/>
    <mergeCell ref="J151:J153"/>
    <mergeCell ref="G142:G144"/>
    <mergeCell ref="I142:I144"/>
    <mergeCell ref="J142:J144"/>
    <mergeCell ref="G145:G147"/>
    <mergeCell ref="H145:H147"/>
    <mergeCell ref="I145:I147"/>
    <mergeCell ref="J145:J147"/>
    <mergeCell ref="G136:G138"/>
    <mergeCell ref="I136:I138"/>
    <mergeCell ref="J136:J138"/>
    <mergeCell ref="G139:G141"/>
    <mergeCell ref="I139:I141"/>
    <mergeCell ref="J139:J141"/>
    <mergeCell ref="C129:C131"/>
    <mergeCell ref="D129:D131"/>
    <mergeCell ref="E129:E131"/>
    <mergeCell ref="F129:F131"/>
    <mergeCell ref="G129:G131"/>
    <mergeCell ref="H129:H131"/>
    <mergeCell ref="I129:I131"/>
    <mergeCell ref="J129:J131"/>
    <mergeCell ref="K129:K131"/>
    <mergeCell ref="G35:G37"/>
    <mergeCell ref="H35:H37"/>
    <mergeCell ref="I35:I37"/>
    <mergeCell ref="J35:J37"/>
    <mergeCell ref="I47:I49"/>
    <mergeCell ref="J47:J49"/>
    <mergeCell ref="L129:L131"/>
    <mergeCell ref="G133:G135"/>
    <mergeCell ref="H133:H135"/>
    <mergeCell ref="I133:I135"/>
    <mergeCell ref="J133:J135"/>
    <mergeCell ref="I38:I40"/>
    <mergeCell ref="J38:J40"/>
    <mergeCell ref="I41:I43"/>
    <mergeCell ref="J41:J43"/>
    <mergeCell ref="I44:I46"/>
    <mergeCell ref="J44:J46"/>
    <mergeCell ref="G70:G72"/>
    <mergeCell ref="H70:H72"/>
    <mergeCell ref="I70:I72"/>
    <mergeCell ref="J70:J72"/>
    <mergeCell ref="I54:I56"/>
    <mergeCell ref="J54:J56"/>
    <mergeCell ref="I57:I59"/>
    <mergeCell ref="K6:K8"/>
    <mergeCell ref="L6:L8"/>
    <mergeCell ref="G10:G12"/>
    <mergeCell ref="H10:H12"/>
    <mergeCell ref="I10:I12"/>
    <mergeCell ref="J10:J12"/>
    <mergeCell ref="C6:C8"/>
    <mergeCell ref="D6:D8"/>
    <mergeCell ref="E6:E8"/>
    <mergeCell ref="F6:F8"/>
    <mergeCell ref="G6:G8"/>
    <mergeCell ref="H6:H8"/>
    <mergeCell ref="G13:G15"/>
    <mergeCell ref="I13:I15"/>
    <mergeCell ref="J13:J15"/>
    <mergeCell ref="G16:G18"/>
    <mergeCell ref="I16:I18"/>
    <mergeCell ref="G19:G21"/>
    <mergeCell ref="I19:I21"/>
    <mergeCell ref="J19:J21"/>
    <mergeCell ref="I6:I8"/>
    <mergeCell ref="J6:J8"/>
    <mergeCell ref="J16:J18"/>
    <mergeCell ref="G28:G30"/>
    <mergeCell ref="I28:I30"/>
    <mergeCell ref="J28:J30"/>
    <mergeCell ref="G31:G33"/>
    <mergeCell ref="I31:I33"/>
    <mergeCell ref="J31:J33"/>
    <mergeCell ref="G22:G24"/>
    <mergeCell ref="I22:I24"/>
    <mergeCell ref="J22:J24"/>
    <mergeCell ref="G25:G27"/>
    <mergeCell ref="I25:I27"/>
    <mergeCell ref="J25:J27"/>
    <mergeCell ref="J57:J59"/>
    <mergeCell ref="I60:I62"/>
    <mergeCell ref="J60:J62"/>
    <mergeCell ref="G51:G53"/>
    <mergeCell ref="H51:H53"/>
    <mergeCell ref="I51:I53"/>
    <mergeCell ref="J51:J53"/>
    <mergeCell ref="G82:G84"/>
    <mergeCell ref="I82:I84"/>
    <mergeCell ref="J82:J84"/>
    <mergeCell ref="G73:G75"/>
    <mergeCell ref="I73:I75"/>
    <mergeCell ref="J73:J75"/>
    <mergeCell ref="G79:G81"/>
    <mergeCell ref="I79:I81"/>
    <mergeCell ref="J79:J81"/>
    <mergeCell ref="G76:G78"/>
    <mergeCell ref="I76:I78"/>
    <mergeCell ref="J76:J78"/>
    <mergeCell ref="I63:I65"/>
    <mergeCell ref="J63:J65"/>
    <mergeCell ref="I66:I68"/>
    <mergeCell ref="J66:J68"/>
    <mergeCell ref="I88:I90"/>
    <mergeCell ref="J88:J90"/>
    <mergeCell ref="K88:K90"/>
    <mergeCell ref="L88:L90"/>
    <mergeCell ref="C88:C90"/>
    <mergeCell ref="D88:D90"/>
    <mergeCell ref="E88:E90"/>
    <mergeCell ref="F88:F90"/>
    <mergeCell ref="G88:G90"/>
    <mergeCell ref="H88:H90"/>
  </mergeCells>
  <conditionalFormatting sqref="L47:X47 L48:L49 L32:L33 L31:X31 L30 L34:X43 L28:X29 L27 X27 L24 X24 L21 X21 L22:X23 L10:X20 L25:X26 L78:X79 L77:W77 L80:W80 L81:X85 M156:X160 M162:X162 M168:X168 M166:X166 L50:X76">
    <cfRule type="cellIs" dxfId="232" priority="208" operator="lessThanOrEqual">
      <formula>0</formula>
    </cfRule>
  </conditionalFormatting>
  <conditionalFormatting sqref="M109:X109">
    <cfRule type="cellIs" dxfId="231" priority="162" operator="lessThanOrEqual">
      <formula>0</formula>
    </cfRule>
  </conditionalFormatting>
  <conditionalFormatting sqref="M113:X113">
    <cfRule type="cellIs" dxfId="230" priority="156" operator="lessThanOrEqual">
      <formula>0</formula>
    </cfRule>
  </conditionalFormatting>
  <conditionalFormatting sqref="M115:X115">
    <cfRule type="cellIs" dxfId="229" priority="154" operator="lessThanOrEqual">
      <formula>0</formula>
    </cfRule>
  </conditionalFormatting>
  <conditionalFormatting sqref="L93:L94">
    <cfRule type="cellIs" dxfId="228" priority="185" operator="lessThanOrEqual">
      <formula>0</formula>
    </cfRule>
  </conditionalFormatting>
  <conditionalFormatting sqref="M93:X94">
    <cfRule type="cellIs" dxfId="227" priority="184" operator="lessThanOrEqual">
      <formula>0</formula>
    </cfRule>
  </conditionalFormatting>
  <conditionalFormatting sqref="M111:X111">
    <cfRule type="cellIs" dxfId="226" priority="180" operator="lessThanOrEqual">
      <formula>0</formula>
    </cfRule>
  </conditionalFormatting>
  <conditionalFormatting sqref="L101">
    <cfRule type="cellIs" dxfId="225" priority="175" operator="lessThanOrEqual">
      <formula>0</formula>
    </cfRule>
  </conditionalFormatting>
  <conditionalFormatting sqref="M101:X101">
    <cfRule type="cellIs" dxfId="224" priority="174" operator="lessThanOrEqual">
      <formula>0</formula>
    </cfRule>
  </conditionalFormatting>
  <conditionalFormatting sqref="L97:L98">
    <cfRule type="cellIs" dxfId="223" priority="177" operator="lessThanOrEqual">
      <formula>0</formula>
    </cfRule>
  </conditionalFormatting>
  <conditionalFormatting sqref="M97:X98">
    <cfRule type="cellIs" dxfId="222" priority="176" operator="lessThanOrEqual">
      <formula>0</formula>
    </cfRule>
  </conditionalFormatting>
  <conditionalFormatting sqref="M103:X104">
    <cfRule type="cellIs" dxfId="221" priority="168" operator="lessThanOrEqual">
      <formula>0</formula>
    </cfRule>
  </conditionalFormatting>
  <conditionalFormatting sqref="M105:X106">
    <cfRule type="cellIs" dxfId="220" priority="166" operator="lessThanOrEqual">
      <formula>0</formula>
    </cfRule>
  </conditionalFormatting>
  <conditionalFormatting sqref="M107:X108">
    <cfRule type="cellIs" dxfId="219" priority="164" operator="lessThanOrEqual">
      <formula>0</formula>
    </cfRule>
  </conditionalFormatting>
  <conditionalFormatting sqref="M117:X117">
    <cfRule type="cellIs" dxfId="218" priority="152" operator="lessThanOrEqual">
      <formula>0</formula>
    </cfRule>
  </conditionalFormatting>
  <conditionalFormatting sqref="M119:X119">
    <cfRule type="cellIs" dxfId="217" priority="150" operator="lessThanOrEqual">
      <formula>0</formula>
    </cfRule>
  </conditionalFormatting>
  <conditionalFormatting sqref="M121:X122">
    <cfRule type="cellIs" dxfId="216" priority="148" operator="lessThanOrEqual">
      <formula>0</formula>
    </cfRule>
  </conditionalFormatting>
  <conditionalFormatting sqref="M125:X125">
    <cfRule type="cellIs" dxfId="215" priority="146" operator="lessThanOrEqual">
      <formula>0</formula>
    </cfRule>
  </conditionalFormatting>
  <conditionalFormatting sqref="L44:X44 L46:X46 L45:W45">
    <cfRule type="cellIs" dxfId="214" priority="145" operator="lessThanOrEqual">
      <formula>0</formula>
    </cfRule>
  </conditionalFormatting>
  <conditionalFormatting sqref="M49:X49 M48:W48">
    <cfRule type="cellIs" dxfId="213" priority="143" operator="lessThanOrEqual">
      <formula>0</formula>
    </cfRule>
  </conditionalFormatting>
  <conditionalFormatting sqref="M32:X33">
    <cfRule type="cellIs" dxfId="212" priority="142" operator="lessThanOrEqual">
      <formula>0</formula>
    </cfRule>
  </conditionalFormatting>
  <conditionalFormatting sqref="M30:X30">
    <cfRule type="cellIs" dxfId="211" priority="141" operator="lessThanOrEqual">
      <formula>0</formula>
    </cfRule>
  </conditionalFormatting>
  <conditionalFormatting sqref="M27:W27">
    <cfRule type="cellIs" dxfId="210" priority="139" operator="lessThanOrEqual">
      <formula>0</formula>
    </cfRule>
  </conditionalFormatting>
  <conditionalFormatting sqref="M24:W24">
    <cfRule type="cellIs" dxfId="209" priority="138" operator="lessThanOrEqual">
      <formula>0</formula>
    </cfRule>
  </conditionalFormatting>
  <conditionalFormatting sqref="M21:W21">
    <cfRule type="cellIs" dxfId="208" priority="137" operator="lessThanOrEqual">
      <formula>0</formula>
    </cfRule>
  </conditionalFormatting>
  <conditionalFormatting sqref="X45">
    <cfRule type="cellIs" dxfId="207" priority="128" operator="lessThanOrEqual">
      <formula>0</formula>
    </cfRule>
  </conditionalFormatting>
  <conditionalFormatting sqref="X48">
    <cfRule type="cellIs" dxfId="206" priority="127" operator="lessThanOrEqual">
      <formula>0</formula>
    </cfRule>
  </conditionalFormatting>
  <conditionalFormatting sqref="X77">
    <cfRule type="cellIs" dxfId="205" priority="126" operator="lessThanOrEqual">
      <formula>0</formula>
    </cfRule>
  </conditionalFormatting>
  <conditionalFormatting sqref="X80">
    <cfRule type="cellIs" dxfId="204" priority="125" operator="lessThanOrEqual">
      <formula>0</formula>
    </cfRule>
  </conditionalFormatting>
  <conditionalFormatting sqref="M55:X56">
    <cfRule type="cellIs" dxfId="203" priority="119" operator="lessThanOrEqual">
      <formula>0</formula>
    </cfRule>
  </conditionalFormatting>
  <conditionalFormatting sqref="M67:X68">
    <cfRule type="cellIs" dxfId="202" priority="123" operator="lessThanOrEqual">
      <formula>0</formula>
    </cfRule>
  </conditionalFormatting>
  <conditionalFormatting sqref="M58:X59">
    <cfRule type="cellIs" dxfId="201" priority="122" operator="lessThanOrEqual">
      <formula>0</formula>
    </cfRule>
  </conditionalFormatting>
  <conditionalFormatting sqref="M61:X62">
    <cfRule type="cellIs" dxfId="200" priority="121" operator="lessThanOrEqual">
      <formula>0</formula>
    </cfRule>
  </conditionalFormatting>
  <conditionalFormatting sqref="M64:X65">
    <cfRule type="cellIs" dxfId="199" priority="120" operator="lessThanOrEqual">
      <formula>0</formula>
    </cfRule>
  </conditionalFormatting>
  <conditionalFormatting sqref="L95">
    <cfRule type="cellIs" dxfId="198" priority="116" operator="lessThanOrEqual">
      <formula>0</formula>
    </cfRule>
  </conditionalFormatting>
  <conditionalFormatting sqref="M95:X95">
    <cfRule type="cellIs" dxfId="197" priority="115" operator="lessThanOrEqual">
      <formula>0</formula>
    </cfRule>
  </conditionalFormatting>
  <conditionalFormatting sqref="L99">
    <cfRule type="cellIs" dxfId="196" priority="114" operator="lessThanOrEqual">
      <formula>0</formula>
    </cfRule>
  </conditionalFormatting>
  <conditionalFormatting sqref="M99:X99">
    <cfRule type="cellIs" dxfId="195" priority="113" operator="lessThanOrEqual">
      <formula>0</formula>
    </cfRule>
  </conditionalFormatting>
  <conditionalFormatting sqref="M123:X124">
    <cfRule type="cellIs" dxfId="194" priority="111" operator="lessThanOrEqual">
      <formula>0</formula>
    </cfRule>
  </conditionalFormatting>
  <conditionalFormatting sqref="L145:X147 L143:L144 L133:X135 L142:X142 L154:X154 L175:X175 M157:X159 L155:L162 M166:X166 M168:X171 L177:X177 L176 L166:L171">
    <cfRule type="cellIs" dxfId="193" priority="110" operator="lessThanOrEqual">
      <formula>0</formula>
    </cfRule>
  </conditionalFormatting>
  <conditionalFormatting sqref="L184">
    <cfRule type="cellIs" dxfId="192" priority="109" operator="lessThanOrEqual">
      <formula>0</formula>
    </cfRule>
  </conditionalFormatting>
  <conditionalFormatting sqref="M184:X184">
    <cfRule type="cellIs" dxfId="191" priority="108" operator="lessThanOrEqual">
      <formula>0</formula>
    </cfRule>
  </conditionalFormatting>
  <conditionalFormatting sqref="L186">
    <cfRule type="cellIs" dxfId="190" priority="107" operator="lessThanOrEqual">
      <formula>0</formula>
    </cfRule>
  </conditionalFormatting>
  <conditionalFormatting sqref="M186:X186">
    <cfRule type="cellIs" dxfId="189" priority="106" operator="lessThanOrEqual">
      <formula>0</formula>
    </cfRule>
  </conditionalFormatting>
  <conditionalFormatting sqref="N155:X155">
    <cfRule type="cellIs" dxfId="188" priority="66" operator="lessThanOrEqual">
      <formula>0</formula>
    </cfRule>
  </conditionalFormatting>
  <conditionalFormatting sqref="M143:X144">
    <cfRule type="cellIs" dxfId="187" priority="62" operator="lessThanOrEqual">
      <formula>0</formula>
    </cfRule>
  </conditionalFormatting>
  <conditionalFormatting sqref="L137:L138 L136:X136">
    <cfRule type="cellIs" dxfId="186" priority="58" operator="lessThanOrEqual">
      <formula>0</formula>
    </cfRule>
  </conditionalFormatting>
  <conditionalFormatting sqref="M137:X138">
    <cfRule type="cellIs" dxfId="185" priority="57" operator="lessThanOrEqual">
      <formula>0</formula>
    </cfRule>
  </conditionalFormatting>
  <conditionalFormatting sqref="L149:L150 L148:X148">
    <cfRule type="cellIs" dxfId="184" priority="56" operator="lessThanOrEqual">
      <formula>0</formula>
    </cfRule>
  </conditionalFormatting>
  <conditionalFormatting sqref="M150:X150">
    <cfRule type="cellIs" dxfId="183" priority="55" operator="lessThanOrEqual">
      <formula>0</formula>
    </cfRule>
  </conditionalFormatting>
  <conditionalFormatting sqref="L173:L174 L172:X172">
    <cfRule type="cellIs" dxfId="182" priority="54" operator="lessThanOrEqual">
      <formula>0</formula>
    </cfRule>
  </conditionalFormatting>
  <conditionalFormatting sqref="M174:X174">
    <cfRule type="cellIs" dxfId="181" priority="53" operator="lessThanOrEqual">
      <formula>0</formula>
    </cfRule>
  </conditionalFormatting>
  <conditionalFormatting sqref="L161:L162 L160:X160">
    <cfRule type="cellIs" dxfId="180" priority="52" operator="lessThanOrEqual">
      <formula>0</formula>
    </cfRule>
  </conditionalFormatting>
  <conditionalFormatting sqref="M162:X162">
    <cfRule type="cellIs" dxfId="179" priority="51" operator="lessThanOrEqual">
      <formula>0</formula>
    </cfRule>
  </conditionalFormatting>
  <conditionalFormatting sqref="M155">
    <cfRule type="cellIs" dxfId="178" priority="40" operator="lessThanOrEqual">
      <formula>0</formula>
    </cfRule>
  </conditionalFormatting>
  <conditionalFormatting sqref="M149:X149">
    <cfRule type="cellIs" dxfId="177" priority="33" operator="lessThanOrEqual">
      <formula>0</formula>
    </cfRule>
  </conditionalFormatting>
  <conditionalFormatting sqref="M161:X161">
    <cfRule type="cellIs" dxfId="176" priority="32" operator="lessThanOrEqual">
      <formula>0</formula>
    </cfRule>
  </conditionalFormatting>
  <conditionalFormatting sqref="M173:X173">
    <cfRule type="cellIs" dxfId="175" priority="31" operator="lessThanOrEqual">
      <formula>0</formula>
    </cfRule>
  </conditionalFormatting>
  <conditionalFormatting sqref="N167:X167">
    <cfRule type="cellIs" dxfId="174" priority="30" operator="lessThanOrEqual">
      <formula>0</formula>
    </cfRule>
  </conditionalFormatting>
  <conditionalFormatting sqref="M167">
    <cfRule type="cellIs" dxfId="173" priority="29" operator="lessThanOrEqual">
      <formula>0</formula>
    </cfRule>
  </conditionalFormatting>
  <conditionalFormatting sqref="N176:X176">
    <cfRule type="cellIs" dxfId="172" priority="28" operator="lessThanOrEqual">
      <formula>0</formula>
    </cfRule>
  </conditionalFormatting>
  <conditionalFormatting sqref="M176">
    <cfRule type="cellIs" dxfId="171" priority="27" operator="lessThanOrEqual">
      <formula>0</formula>
    </cfRule>
  </conditionalFormatting>
  <conditionalFormatting sqref="L140:L141 L139:X139">
    <cfRule type="cellIs" dxfId="170" priority="26" operator="lessThanOrEqual">
      <formula>0</formula>
    </cfRule>
  </conditionalFormatting>
  <conditionalFormatting sqref="M141:X141 N140:X140">
    <cfRule type="cellIs" dxfId="169" priority="25" operator="lessThanOrEqual">
      <formula>0</formula>
    </cfRule>
  </conditionalFormatting>
  <conditionalFormatting sqref="L152:L153 L151:X151">
    <cfRule type="cellIs" dxfId="168" priority="24" operator="lessThanOrEqual">
      <formula>0</formula>
    </cfRule>
  </conditionalFormatting>
  <conditionalFormatting sqref="M153:X153 N152:X152">
    <cfRule type="cellIs" dxfId="167" priority="23" operator="lessThanOrEqual">
      <formula>0</formula>
    </cfRule>
  </conditionalFormatting>
  <conditionalFormatting sqref="L164:L165 L163:X163">
    <cfRule type="cellIs" dxfId="166" priority="22" operator="lessThanOrEqual">
      <formula>0</formula>
    </cfRule>
  </conditionalFormatting>
  <conditionalFormatting sqref="M165:X165 N164:X164">
    <cfRule type="cellIs" dxfId="165" priority="21" operator="lessThanOrEqual">
      <formula>0</formula>
    </cfRule>
  </conditionalFormatting>
  <conditionalFormatting sqref="L185">
    <cfRule type="cellIs" dxfId="164" priority="20" operator="lessThanOrEqual">
      <formula>0</formula>
    </cfRule>
  </conditionalFormatting>
  <conditionalFormatting sqref="M185:X185">
    <cfRule type="cellIs" dxfId="163" priority="19" operator="lessThanOrEqual">
      <formula>0</formula>
    </cfRule>
  </conditionalFormatting>
  <conditionalFormatting sqref="L92">
    <cfRule type="cellIs" dxfId="162" priority="18" operator="lessThanOrEqual">
      <formula>0</formula>
    </cfRule>
  </conditionalFormatting>
  <conditionalFormatting sqref="M92">
    <cfRule type="cellIs" dxfId="161" priority="16" operator="lessThanOrEqual">
      <formula>0</formula>
    </cfRule>
  </conditionalFormatting>
  <conditionalFormatting sqref="N92:X92">
    <cfRule type="cellIs" dxfId="160" priority="15" operator="lessThanOrEqual">
      <formula>0</formula>
    </cfRule>
  </conditionalFormatting>
  <conditionalFormatting sqref="L103 L105 L107 L109 L111 L113 L115 L117 L119 L121 L123 L125">
    <cfRule type="cellIs" dxfId="159" priority="12" operator="lessThanOrEqual">
      <formula>0</formula>
    </cfRule>
  </conditionalFormatting>
  <conditionalFormatting sqref="L104 L106 L108 L122 L124">
    <cfRule type="cellIs" dxfId="158" priority="11" operator="lessThanOrEqual">
      <formula>0</formula>
    </cfRule>
  </conditionalFormatting>
  <conditionalFormatting sqref="L100:X100">
    <cfRule type="cellIs" dxfId="157" priority="10" operator="lessThanOrEqual">
      <formula>0</formula>
    </cfRule>
  </conditionalFormatting>
  <conditionalFormatting sqref="L102:X102">
    <cfRule type="cellIs" dxfId="156" priority="9" operator="lessThanOrEqual">
      <formula>0</formula>
    </cfRule>
  </conditionalFormatting>
  <conditionalFormatting sqref="L110:X110">
    <cfRule type="cellIs" dxfId="155" priority="8" operator="lessThanOrEqual">
      <formula>0</formula>
    </cfRule>
  </conditionalFormatting>
  <conditionalFormatting sqref="L112:X112">
    <cfRule type="cellIs" dxfId="154" priority="7" operator="lessThanOrEqual">
      <formula>0</formula>
    </cfRule>
  </conditionalFormatting>
  <conditionalFormatting sqref="L114:X114">
    <cfRule type="cellIs" dxfId="153" priority="6" operator="lessThanOrEqual">
      <formula>0</formula>
    </cfRule>
  </conditionalFormatting>
  <conditionalFormatting sqref="L116:X116">
    <cfRule type="cellIs" dxfId="152" priority="5" operator="lessThanOrEqual">
      <formula>0</formula>
    </cfRule>
  </conditionalFormatting>
  <conditionalFormatting sqref="L118:X118">
    <cfRule type="cellIs" dxfId="151" priority="4" operator="lessThanOrEqual">
      <formula>0</formula>
    </cfRule>
  </conditionalFormatting>
  <conditionalFormatting sqref="L120:X120">
    <cfRule type="cellIs" dxfId="150" priority="3" operator="lessThanOrEqual">
      <formula>0</formula>
    </cfRule>
  </conditionalFormatting>
  <conditionalFormatting sqref="M96:X96">
    <cfRule type="cellIs" dxfId="149" priority="2" operator="lessThanOrEqual">
      <formula>0</formula>
    </cfRule>
  </conditionalFormatting>
  <conditionalFormatting sqref="L96">
    <cfRule type="cellIs" dxfId="148" priority="1" operator="lessThanOrEqual">
      <formula>0</formula>
    </cfRule>
  </conditionalFormatting>
  <printOptions horizontalCentered="1"/>
  <pageMargins left="0.70866141732283472" right="0.70866141732283472" top="0.74803149606299213" bottom="0.74803149606299213" header="0" footer="0"/>
  <pageSetup paperSize="119" scale="89" fitToHeight="2"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803D9-1828-4A44-9B70-5AB094C5A768}">
  <dimension ref="A2:CA67"/>
  <sheetViews>
    <sheetView workbookViewId="0"/>
  </sheetViews>
  <sheetFormatPr baseColWidth="10" defaultColWidth="11.42578125" defaultRowHeight="15" outlineLevelCol="1"/>
  <cols>
    <col min="1" max="1" width="15.7109375" customWidth="1"/>
    <col min="2" max="2" width="34.28515625" customWidth="1"/>
    <col min="3" max="3" width="21.140625" style="790" bestFit="1" customWidth="1"/>
    <col min="4" max="4" width="4.140625" style="790" customWidth="1" collapsed="1"/>
    <col min="5" max="5" width="34" hidden="1" customWidth="1"/>
    <col min="6" max="6" width="16.85546875" style="790" hidden="1" customWidth="1"/>
    <col min="7" max="16" width="12" hidden="1" customWidth="1"/>
    <col min="17" max="17" width="11" hidden="1" customWidth="1"/>
    <col min="18" max="18" width="12" hidden="1" customWidth="1"/>
    <col min="19" max="19" width="4.140625" style="790" customWidth="1" collapsed="1"/>
    <col min="20" max="20" width="29.85546875" customWidth="1"/>
    <col min="21" max="21" width="14.42578125" style="790" customWidth="1"/>
    <col min="22" max="28" width="12" customWidth="1" outlineLevel="1"/>
    <col min="29" max="29" width="11.5703125" customWidth="1" outlineLevel="1"/>
    <col min="30" max="30" width="11.42578125" customWidth="1" outlineLevel="1"/>
    <col min="31" max="33" width="11.5703125" customWidth="1" outlineLevel="1"/>
    <col min="34" max="34" width="4.140625" style="790" customWidth="1"/>
    <col min="35" max="35" width="27.140625" customWidth="1"/>
    <col min="36" max="36" width="17.42578125" style="790" customWidth="1"/>
    <col min="37" max="37" width="14.140625" customWidth="1" outlineLevel="1"/>
    <col min="38" max="38" width="14.7109375" customWidth="1" outlineLevel="1"/>
    <col min="39" max="39" width="12.42578125" customWidth="1" outlineLevel="1"/>
    <col min="40" max="40" width="14.140625" customWidth="1" outlineLevel="1"/>
    <col min="41" max="41" width="13.7109375" customWidth="1" outlineLevel="1"/>
    <col min="42" max="42" width="14.5703125" customWidth="1" outlineLevel="1"/>
    <col min="43" max="43" width="12.7109375" customWidth="1" outlineLevel="1"/>
    <col min="44" max="48" width="11.5703125" customWidth="1" outlineLevel="1"/>
    <col min="49" max="49" width="4.140625" style="790" customWidth="1"/>
    <col min="50" max="50" width="28.140625" customWidth="1"/>
    <col min="51" max="51" width="17.140625" style="790" bestFit="1" customWidth="1"/>
    <col min="52" max="52" width="13.28515625" customWidth="1" outlineLevel="1"/>
    <col min="53" max="53" width="13" customWidth="1" outlineLevel="1"/>
    <col min="54" max="54" width="14.140625" customWidth="1" outlineLevel="1"/>
    <col min="55" max="55" width="14" customWidth="1" outlineLevel="1"/>
    <col min="56" max="56" width="13.28515625" customWidth="1" outlineLevel="1"/>
    <col min="57" max="57" width="12.140625" customWidth="1" outlineLevel="1"/>
    <col min="58" max="58" width="13.28515625" customWidth="1" outlineLevel="1"/>
    <col min="59" max="59" width="11" customWidth="1" outlineLevel="1"/>
    <col min="60" max="60" width="11.42578125" customWidth="1" outlineLevel="1"/>
    <col min="61" max="63" width="11" customWidth="1" outlineLevel="1"/>
    <col min="64" max="64" width="4.140625" style="790" customWidth="1"/>
    <col min="65" max="65" width="26" customWidth="1"/>
    <col min="66" max="66" width="19.42578125" style="790" customWidth="1"/>
    <col min="67" max="68" width="12" customWidth="1" outlineLevel="1"/>
    <col min="69" max="69" width="12.7109375" customWidth="1" outlineLevel="1"/>
    <col min="70" max="72" width="12" customWidth="1" outlineLevel="1"/>
    <col min="73" max="74" width="11" customWidth="1" outlineLevel="1"/>
    <col min="75" max="75" width="11.42578125" customWidth="1" outlineLevel="1"/>
    <col min="76" max="78" width="11" customWidth="1" outlineLevel="1"/>
    <col min="79" max="79" width="4.140625" style="790" customWidth="1"/>
  </cols>
  <sheetData>
    <row r="2" spans="1:79">
      <c r="C2" s="812">
        <f>C6+C16</f>
        <v>91120.510000000009</v>
      </c>
    </row>
    <row r="3" spans="1:79">
      <c r="C3" s="96" t="s">
        <v>482</v>
      </c>
      <c r="F3" s="96" t="s">
        <v>663</v>
      </c>
      <c r="S3" s="800"/>
      <c r="U3" s="96" t="s">
        <v>663</v>
      </c>
      <c r="AH3" s="800"/>
      <c r="AJ3" s="96" t="s">
        <v>367</v>
      </c>
      <c r="AW3" s="800"/>
      <c r="AX3" s="197" t="s">
        <v>365</v>
      </c>
      <c r="AY3" s="96" t="s">
        <v>365</v>
      </c>
      <c r="BL3" s="800"/>
      <c r="BN3" s="96" t="s">
        <v>366</v>
      </c>
      <c r="CA3" s="800"/>
    </row>
    <row r="4" spans="1:79">
      <c r="B4" s="197" t="s">
        <v>402</v>
      </c>
      <c r="C4" s="791">
        <v>2023</v>
      </c>
      <c r="E4" s="197" t="s">
        <v>368</v>
      </c>
      <c r="F4" s="292">
        <v>2022</v>
      </c>
      <c r="G4" s="143" t="s">
        <v>369</v>
      </c>
      <c r="H4" s="143" t="s">
        <v>370</v>
      </c>
      <c r="I4" s="143" t="s">
        <v>371</v>
      </c>
      <c r="J4" s="143" t="s">
        <v>372</v>
      </c>
      <c r="K4" s="143" t="s">
        <v>373</v>
      </c>
      <c r="L4" s="143" t="s">
        <v>374</v>
      </c>
      <c r="M4" s="143" t="s">
        <v>375</v>
      </c>
      <c r="N4" s="143" t="s">
        <v>376</v>
      </c>
      <c r="O4" s="143" t="s">
        <v>377</v>
      </c>
      <c r="P4" s="143" t="s">
        <v>378</v>
      </c>
      <c r="Q4" s="143" t="s">
        <v>379</v>
      </c>
      <c r="R4" s="143" t="s">
        <v>380</v>
      </c>
      <c r="S4" s="800"/>
      <c r="T4" s="197" t="s">
        <v>368</v>
      </c>
      <c r="U4" s="803">
        <v>2023</v>
      </c>
      <c r="V4" s="143" t="s">
        <v>369</v>
      </c>
      <c r="W4" s="143" t="s">
        <v>370</v>
      </c>
      <c r="X4" s="143" t="s">
        <v>371</v>
      </c>
      <c r="Y4" s="143" t="s">
        <v>372</v>
      </c>
      <c r="Z4" s="143" t="s">
        <v>373</v>
      </c>
      <c r="AA4" s="143" t="s">
        <v>374</v>
      </c>
      <c r="AB4" s="143" t="s">
        <v>375</v>
      </c>
      <c r="AC4" s="143" t="s">
        <v>376</v>
      </c>
      <c r="AD4" s="143" t="s">
        <v>377</v>
      </c>
      <c r="AE4" s="143" t="s">
        <v>378</v>
      </c>
      <c r="AF4" s="143" t="s">
        <v>379</v>
      </c>
      <c r="AG4" s="143" t="s">
        <v>380</v>
      </c>
      <c r="AH4" s="800"/>
      <c r="AI4" s="197" t="s">
        <v>381</v>
      </c>
      <c r="AJ4" s="803">
        <v>2023</v>
      </c>
      <c r="AK4" s="143" t="s">
        <v>369</v>
      </c>
      <c r="AL4" s="143" t="s">
        <v>370</v>
      </c>
      <c r="AM4" s="143" t="s">
        <v>371</v>
      </c>
      <c r="AN4" s="143" t="s">
        <v>372</v>
      </c>
      <c r="AO4" s="143" t="s">
        <v>373</v>
      </c>
      <c r="AP4" s="143" t="s">
        <v>374</v>
      </c>
      <c r="AQ4" s="143" t="s">
        <v>375</v>
      </c>
      <c r="AR4" s="143" t="s">
        <v>376</v>
      </c>
      <c r="AS4" s="143" t="s">
        <v>377</v>
      </c>
      <c r="AT4" s="143" t="s">
        <v>378</v>
      </c>
      <c r="AU4" s="143" t="s">
        <v>379</v>
      </c>
      <c r="AV4" s="143" t="s">
        <v>380</v>
      </c>
      <c r="AW4" s="800"/>
      <c r="AX4" s="197" t="s">
        <v>404</v>
      </c>
      <c r="AY4" s="803">
        <v>2023</v>
      </c>
      <c r="AZ4" s="143" t="s">
        <v>369</v>
      </c>
      <c r="BA4" s="143" t="s">
        <v>370</v>
      </c>
      <c r="BB4" s="143" t="s">
        <v>371</v>
      </c>
      <c r="BC4" s="143" t="s">
        <v>372</v>
      </c>
      <c r="BD4" s="143" t="s">
        <v>373</v>
      </c>
      <c r="BE4" s="143" t="s">
        <v>374</v>
      </c>
      <c r="BF4" s="143" t="s">
        <v>375</v>
      </c>
      <c r="BG4" s="143" t="s">
        <v>376</v>
      </c>
      <c r="BH4" s="143" t="s">
        <v>377</v>
      </c>
      <c r="BI4" s="143" t="s">
        <v>378</v>
      </c>
      <c r="BJ4" s="143" t="s">
        <v>379</v>
      </c>
      <c r="BK4" s="143" t="s">
        <v>380</v>
      </c>
      <c r="BL4" s="800"/>
      <c r="BM4" s="197" t="s">
        <v>402</v>
      </c>
      <c r="BN4" s="803">
        <v>2023</v>
      </c>
      <c r="BO4" s="143" t="s">
        <v>369</v>
      </c>
      <c r="BP4" s="143" t="s">
        <v>370</v>
      </c>
      <c r="BQ4" s="143" t="s">
        <v>371</v>
      </c>
      <c r="BR4" s="143" t="s">
        <v>372</v>
      </c>
      <c r="BS4" s="143" t="s">
        <v>373</v>
      </c>
      <c r="BT4" s="143" t="s">
        <v>374</v>
      </c>
      <c r="BU4" s="143" t="s">
        <v>375</v>
      </c>
      <c r="BV4" s="143" t="s">
        <v>376</v>
      </c>
      <c r="BW4" s="143" t="s">
        <v>377</v>
      </c>
      <c r="BX4" s="143" t="s">
        <v>378</v>
      </c>
      <c r="BY4" s="143" t="s">
        <v>379</v>
      </c>
      <c r="BZ4" s="143" t="s">
        <v>380</v>
      </c>
      <c r="CA4" s="800"/>
    </row>
    <row r="5" spans="1:79">
      <c r="B5" s="197" t="s">
        <v>382</v>
      </c>
      <c r="E5" s="197" t="s">
        <v>382</v>
      </c>
      <c r="S5" s="800"/>
      <c r="T5" s="197" t="s">
        <v>382</v>
      </c>
      <c r="AH5" s="800"/>
      <c r="AI5" s="197" t="s">
        <v>382</v>
      </c>
      <c r="AW5" s="800"/>
      <c r="AX5" s="197" t="s">
        <v>382</v>
      </c>
      <c r="BL5" s="800"/>
      <c r="BM5" s="197" t="s">
        <v>382</v>
      </c>
      <c r="CA5" s="800"/>
    </row>
    <row r="6" spans="1:79">
      <c r="A6" s="295"/>
      <c r="B6" s="852" t="s">
        <v>383</v>
      </c>
      <c r="C6" s="811">
        <f>(U6+AJ6+AY6+BN6)</f>
        <v>32029.300000000003</v>
      </c>
      <c r="E6" t="s">
        <v>383</v>
      </c>
      <c r="F6" s="815">
        <f>SUM(G6:R6)</f>
        <v>0</v>
      </c>
      <c r="G6" s="816">
        <v>0</v>
      </c>
      <c r="H6" s="816"/>
      <c r="I6" s="816"/>
      <c r="J6" s="816"/>
      <c r="K6" s="816"/>
      <c r="L6" s="817"/>
      <c r="M6" s="817"/>
      <c r="N6" s="817"/>
      <c r="O6" s="816"/>
      <c r="P6" s="816"/>
      <c r="Q6" s="816"/>
      <c r="R6" s="816"/>
      <c r="S6" s="800"/>
      <c r="T6" s="852" t="s">
        <v>383</v>
      </c>
      <c r="U6" s="854">
        <f>SUM(V6:AG6)</f>
        <v>1186</v>
      </c>
      <c r="V6" s="843"/>
      <c r="W6" s="843">
        <v>100</v>
      </c>
      <c r="X6" s="843">
        <v>506</v>
      </c>
      <c r="Y6" s="843">
        <v>80</v>
      </c>
      <c r="Z6" s="843"/>
      <c r="AA6" s="834">
        <v>500</v>
      </c>
      <c r="AB6" s="834"/>
      <c r="AC6" s="834"/>
      <c r="AD6" s="843"/>
      <c r="AE6" s="843"/>
      <c r="AF6" s="843"/>
      <c r="AG6" s="843"/>
      <c r="AH6" s="800"/>
      <c r="AI6" s="852" t="s">
        <v>383</v>
      </c>
      <c r="AJ6" s="854">
        <f>SUM(AK6:AV6)</f>
        <v>1153.58</v>
      </c>
      <c r="AK6" s="824"/>
      <c r="AL6" s="824"/>
      <c r="AM6" s="824"/>
      <c r="AN6" s="824"/>
      <c r="AO6" s="824"/>
      <c r="AP6" s="78"/>
      <c r="AQ6" s="78"/>
      <c r="AR6" s="78"/>
      <c r="AS6" s="824">
        <v>218.08</v>
      </c>
      <c r="AT6" s="824">
        <v>823.5</v>
      </c>
      <c r="AU6" s="824">
        <v>112</v>
      </c>
      <c r="AV6" s="824"/>
      <c r="AW6" s="800"/>
      <c r="AX6" s="852" t="s">
        <v>383</v>
      </c>
      <c r="AY6" s="854">
        <f>SUM(AZ6:BK6)</f>
        <v>325</v>
      </c>
      <c r="AZ6" s="816">
        <v>65</v>
      </c>
      <c r="BA6" s="816"/>
      <c r="BB6" s="816">
        <v>260</v>
      </c>
      <c r="BC6" s="816"/>
      <c r="BD6" s="816"/>
      <c r="BE6" s="816"/>
      <c r="BF6" s="816"/>
      <c r="BG6" s="817"/>
      <c r="BH6" s="816"/>
      <c r="BI6" s="816"/>
      <c r="BJ6" s="816"/>
      <c r="BK6" s="816"/>
      <c r="BL6" s="800"/>
      <c r="BM6" s="852" t="s">
        <v>383</v>
      </c>
      <c r="BN6" s="854">
        <f>SUM(BO6:BZ6)</f>
        <v>29364.720000000001</v>
      </c>
      <c r="BO6" s="816">
        <v>880.5</v>
      </c>
      <c r="BP6" s="816">
        <v>942.5</v>
      </c>
      <c r="BQ6" s="816">
        <v>1691.67</v>
      </c>
      <c r="BR6" s="816">
        <v>693.5</v>
      </c>
      <c r="BS6" s="816">
        <v>1139</v>
      </c>
      <c r="BT6" s="817">
        <v>3154.69</v>
      </c>
      <c r="BU6" s="817">
        <v>1072</v>
      </c>
      <c r="BV6" s="817">
        <v>1306.5</v>
      </c>
      <c r="BW6" s="816">
        <v>1413.6</v>
      </c>
      <c r="BX6" s="816">
        <v>9013.6</v>
      </c>
      <c r="BY6" s="816">
        <v>7418.1600000000008</v>
      </c>
      <c r="BZ6" s="816">
        <v>639</v>
      </c>
      <c r="CA6" s="800"/>
    </row>
    <row r="7" spans="1:79">
      <c r="A7" s="295"/>
      <c r="B7" t="s">
        <v>384</v>
      </c>
      <c r="C7" s="811">
        <f>(U7+AJ7+AY7+BN7)</f>
        <v>17827.50416</v>
      </c>
      <c r="E7" t="s">
        <v>384</v>
      </c>
      <c r="F7" s="815">
        <f>SUM(G7:R7)</f>
        <v>88438.812000000005</v>
      </c>
      <c r="G7" s="816">
        <v>4654.16</v>
      </c>
      <c r="H7" s="816">
        <v>13213.58</v>
      </c>
      <c r="I7" s="816">
        <v>5091.24</v>
      </c>
      <c r="J7" s="816">
        <v>713.97200000000021</v>
      </c>
      <c r="K7" s="816">
        <v>5108.67</v>
      </c>
      <c r="L7" s="816">
        <v>14023.04</v>
      </c>
      <c r="M7" s="816">
        <v>3560.66</v>
      </c>
      <c r="N7" s="816">
        <v>15775.59</v>
      </c>
      <c r="O7" s="816">
        <v>3382.0699999999997</v>
      </c>
      <c r="P7" s="816">
        <v>9766.880000000001</v>
      </c>
      <c r="Q7" s="816">
        <v>3382.07</v>
      </c>
      <c r="R7" s="816">
        <v>9766.880000000001</v>
      </c>
      <c r="S7" s="800"/>
      <c r="T7" t="s">
        <v>384</v>
      </c>
      <c r="U7" s="842">
        <f>SUM(V7:AG7)</f>
        <v>6977.1671999999999</v>
      </c>
      <c r="V7" s="843">
        <v>661.11640000000011</v>
      </c>
      <c r="W7" s="843">
        <v>257.88560000000001</v>
      </c>
      <c r="X7" s="843">
        <v>630.452</v>
      </c>
      <c r="Y7" s="843">
        <v>515.77120000000002</v>
      </c>
      <c r="Z7" s="843">
        <v>557.85640000000012</v>
      </c>
      <c r="AA7" s="843">
        <v>257.88560000000001</v>
      </c>
      <c r="AB7" s="843">
        <f>515.77+3580.43</f>
        <v>4096.2</v>
      </c>
      <c r="AC7" s="843"/>
      <c r="AD7" s="843"/>
      <c r="AE7" s="843"/>
      <c r="AF7" s="843"/>
      <c r="AG7" s="843"/>
      <c r="AH7" s="800"/>
      <c r="AI7" t="s">
        <v>384</v>
      </c>
      <c r="AJ7" s="823">
        <f>SUM(AK7:AV7)</f>
        <v>4753.7923599999995</v>
      </c>
      <c r="AK7" s="824">
        <v>538.67036000000007</v>
      </c>
      <c r="AL7" s="824">
        <v>201.11240000000001</v>
      </c>
      <c r="AM7" s="824">
        <v>502.78199999999998</v>
      </c>
      <c r="AN7" s="824">
        <v>405.8168</v>
      </c>
      <c r="AO7" s="824">
        <v>409.40800000000002</v>
      </c>
      <c r="AP7" s="824">
        <v>201.11279999999999</v>
      </c>
      <c r="AQ7" s="824">
        <v>2494.89</v>
      </c>
      <c r="AR7" s="824"/>
      <c r="AS7" s="824"/>
      <c r="AT7" s="824"/>
      <c r="AU7" s="824"/>
      <c r="AV7" s="824"/>
      <c r="AW7" s="800"/>
      <c r="AX7" t="s">
        <v>384</v>
      </c>
      <c r="AY7" s="829">
        <f>SUM(AZ7:BK7)</f>
        <v>3424.8000000000006</v>
      </c>
      <c r="AZ7" s="816">
        <v>351.21300000000008</v>
      </c>
      <c r="BA7" s="816">
        <v>140.48520000000002</v>
      </c>
      <c r="BB7" s="816">
        <v>339.50580000000002</v>
      </c>
      <c r="BC7" s="816">
        <v>280.97040000000004</v>
      </c>
      <c r="BD7" s="816">
        <v>280.97040000000004</v>
      </c>
      <c r="BE7" s="816">
        <v>140.48520000000002</v>
      </c>
      <c r="BF7" s="816">
        <v>1891.17</v>
      </c>
      <c r="BG7" s="816"/>
      <c r="BH7" s="816"/>
      <c r="BI7" s="816"/>
      <c r="BJ7" s="816"/>
      <c r="BK7" s="816"/>
      <c r="BL7" s="800"/>
      <c r="BM7" t="s">
        <v>384</v>
      </c>
      <c r="BN7" s="829">
        <f>SUM(BO7:BZ7)</f>
        <v>2671.7446</v>
      </c>
      <c r="BO7" s="816">
        <v>536.54940000000011</v>
      </c>
      <c r="BP7" s="816">
        <v>250.6728</v>
      </c>
      <c r="BQ7" s="816">
        <v>628.92020000000002</v>
      </c>
      <c r="BR7" s="816">
        <v>501.34560000000005</v>
      </c>
      <c r="BS7" s="816">
        <v>503.58380000000005</v>
      </c>
      <c r="BT7" s="816">
        <v>250.6728</v>
      </c>
      <c r="BU7" s="816"/>
      <c r="BV7" s="816"/>
      <c r="BW7" s="816"/>
      <c r="BX7" s="816"/>
      <c r="BY7" s="816"/>
      <c r="BZ7" s="816"/>
      <c r="CA7" s="800"/>
    </row>
    <row r="8" spans="1:79">
      <c r="A8" s="295"/>
      <c r="B8" t="s">
        <v>385</v>
      </c>
      <c r="C8" s="811">
        <f>(U8+AJ8+AY8+BN8)</f>
        <v>387675.88280000002</v>
      </c>
      <c r="E8" t="s">
        <v>385</v>
      </c>
      <c r="F8" s="815">
        <f>SUM(G8:R8)</f>
        <v>523248.54360000003</v>
      </c>
      <c r="G8" s="816">
        <v>35303.659400000004</v>
      </c>
      <c r="H8" s="816">
        <v>37134.310200000014</v>
      </c>
      <c r="I8" s="816">
        <v>50834.719800000006</v>
      </c>
      <c r="J8" s="816">
        <v>35698.600000000006</v>
      </c>
      <c r="K8" s="816">
        <f>3000+36590.2764</f>
        <v>39590.276400000002</v>
      </c>
      <c r="L8" s="816">
        <f>50599.059</f>
        <v>50599.059000000001</v>
      </c>
      <c r="M8" s="816">
        <v>49317.038800000017</v>
      </c>
      <c r="N8" s="816">
        <v>50884.62000000001</v>
      </c>
      <c r="O8" s="816">
        <v>44398.05000000001</v>
      </c>
      <c r="P8" s="816">
        <v>35614.910000000003</v>
      </c>
      <c r="Q8" s="817">
        <v>44238.01</v>
      </c>
      <c r="R8" s="817">
        <v>49635.289999999994</v>
      </c>
      <c r="S8" s="800"/>
      <c r="T8" t="s">
        <v>385</v>
      </c>
      <c r="U8" s="842">
        <f>SUM(V8:AG8)</f>
        <v>137838.5618</v>
      </c>
      <c r="V8" s="843">
        <v>21455.190000000002</v>
      </c>
      <c r="W8" s="843">
        <v>13998.930600000002</v>
      </c>
      <c r="X8" s="843">
        <v>20746.140000000003</v>
      </c>
      <c r="Y8" s="843">
        <v>17568.120000000003</v>
      </c>
      <c r="Z8" s="843">
        <v>17568.120000000003</v>
      </c>
      <c r="AA8" s="843">
        <v>17713.801200000002</v>
      </c>
      <c r="AB8" s="843">
        <v>28788.26</v>
      </c>
      <c r="AC8" s="843"/>
      <c r="AD8" s="843"/>
      <c r="AE8" s="843"/>
      <c r="AF8" s="834"/>
      <c r="AG8" s="834"/>
      <c r="AH8" s="800"/>
      <c r="AI8" t="s">
        <v>385</v>
      </c>
      <c r="AJ8" s="823">
        <f>SUM(AK8:AV8)</f>
        <v>148149.45319999999</v>
      </c>
      <c r="AK8" s="824">
        <v>26160.213999999993</v>
      </c>
      <c r="AL8" s="824">
        <v>15183.996399999996</v>
      </c>
      <c r="AM8" s="824">
        <v>25139.1</v>
      </c>
      <c r="AN8" s="824">
        <v>20290.84</v>
      </c>
      <c r="AO8" s="824">
        <v>20470.400000000001</v>
      </c>
      <c r="AP8" s="824">
        <v>20312.392800000001</v>
      </c>
      <c r="AQ8" s="824">
        <v>20592.509999999998</v>
      </c>
      <c r="AR8" s="824"/>
      <c r="AS8" s="824"/>
      <c r="AT8" s="824"/>
      <c r="AU8" s="78"/>
      <c r="AV8" s="78"/>
      <c r="AW8" s="800"/>
      <c r="AX8" t="s">
        <v>385</v>
      </c>
      <c r="AY8" s="829">
        <f>SUM(AZ8:BK8)</f>
        <v>101687.86780000001</v>
      </c>
      <c r="AZ8" s="816">
        <v>17560.650000000001</v>
      </c>
      <c r="BA8" s="816">
        <v>10606.632600000001</v>
      </c>
      <c r="BB8" s="816">
        <v>16975.29</v>
      </c>
      <c r="BC8" s="816">
        <v>14048.52</v>
      </c>
      <c r="BD8" s="816">
        <v>14048.52</v>
      </c>
      <c r="BE8" s="816">
        <v>14189.0052</v>
      </c>
      <c r="BF8" s="816">
        <v>14259.25</v>
      </c>
      <c r="BG8" s="816"/>
      <c r="BH8" s="816"/>
      <c r="BI8" s="816"/>
      <c r="BJ8" s="817"/>
      <c r="BK8" s="817"/>
      <c r="BL8" s="800"/>
      <c r="BM8" t="s">
        <v>385</v>
      </c>
      <c r="BN8" s="829">
        <f>SUM(BO8:BZ8)</f>
        <v>0</v>
      </c>
      <c r="BO8" s="816"/>
      <c r="BP8" s="816"/>
      <c r="BQ8" s="816"/>
      <c r="BR8" s="816"/>
      <c r="BS8" s="816"/>
      <c r="BT8" s="816"/>
      <c r="BU8" s="816"/>
      <c r="BV8" s="816"/>
      <c r="BW8" s="816"/>
      <c r="BX8" s="816"/>
      <c r="BY8" s="817"/>
      <c r="BZ8" s="817"/>
      <c r="CA8" s="800"/>
    </row>
    <row r="9" spans="1:79">
      <c r="B9" s="853" t="s">
        <v>386</v>
      </c>
      <c r="C9" s="811">
        <f>(U9+AJ9+AY9+BN9)</f>
        <v>816069.79999999993</v>
      </c>
      <c r="E9" s="324" t="s">
        <v>386</v>
      </c>
      <c r="F9" s="815">
        <f>SUM(G9:R9)</f>
        <v>31500.966999999997</v>
      </c>
      <c r="G9" s="816">
        <v>2919.22</v>
      </c>
      <c r="H9" s="816">
        <v>3936.1173600000002</v>
      </c>
      <c r="I9" s="816">
        <v>4929.8130000000001</v>
      </c>
      <c r="J9" s="816">
        <v>3979.0832400000004</v>
      </c>
      <c r="K9" s="816">
        <v>3943.8504000000003</v>
      </c>
      <c r="L9" s="816">
        <v>4929.8100000000004</v>
      </c>
      <c r="M9" s="817"/>
      <c r="N9" s="816">
        <v>4891.1477999999997</v>
      </c>
      <c r="O9" s="817">
        <v>985.96259999999995</v>
      </c>
      <c r="P9" s="817">
        <v>985.96259999999995</v>
      </c>
      <c r="Q9" s="817"/>
      <c r="R9" s="817"/>
      <c r="S9" s="800"/>
      <c r="T9" s="853" t="s">
        <v>386</v>
      </c>
      <c r="U9" s="854">
        <f>SUM(V9:AG9)</f>
        <v>204017.44999999998</v>
      </c>
      <c r="V9" s="843">
        <f>((15693.65*52)/12)/4</f>
        <v>17001.454166666666</v>
      </c>
      <c r="W9" s="843">
        <f t="shared" ref="W9:AG9" si="0">((15693.65*52)/12)/4</f>
        <v>17001.454166666666</v>
      </c>
      <c r="X9" s="843">
        <f t="shared" si="0"/>
        <v>17001.454166666666</v>
      </c>
      <c r="Y9" s="843">
        <f t="shared" si="0"/>
        <v>17001.454166666666</v>
      </c>
      <c r="Z9" s="843">
        <f t="shared" si="0"/>
        <v>17001.454166666666</v>
      </c>
      <c r="AA9" s="843">
        <f t="shared" si="0"/>
        <v>17001.454166666666</v>
      </c>
      <c r="AB9" s="843">
        <f t="shared" si="0"/>
        <v>17001.454166666666</v>
      </c>
      <c r="AC9" s="843">
        <f t="shared" si="0"/>
        <v>17001.454166666666</v>
      </c>
      <c r="AD9" s="843">
        <f t="shared" si="0"/>
        <v>17001.454166666666</v>
      </c>
      <c r="AE9" s="843">
        <f t="shared" si="0"/>
        <v>17001.454166666666</v>
      </c>
      <c r="AF9" s="843">
        <f t="shared" si="0"/>
        <v>17001.454166666666</v>
      </c>
      <c r="AG9" s="843">
        <f t="shared" si="0"/>
        <v>17001.454166666666</v>
      </c>
      <c r="AH9" s="800"/>
      <c r="AI9" s="853" t="s">
        <v>386</v>
      </c>
      <c r="AJ9" s="854">
        <f>SUM(AK9:AV9)</f>
        <v>204017.44999999998</v>
      </c>
      <c r="AK9" s="843">
        <f>((15693.65*52)/12)/4</f>
        <v>17001.454166666666</v>
      </c>
      <c r="AL9" s="843">
        <f t="shared" ref="AL9:AV9" si="1">((15693.65*52)/12)/4</f>
        <v>17001.454166666666</v>
      </c>
      <c r="AM9" s="843">
        <f t="shared" si="1"/>
        <v>17001.454166666666</v>
      </c>
      <c r="AN9" s="843">
        <f t="shared" si="1"/>
        <v>17001.454166666666</v>
      </c>
      <c r="AO9" s="843">
        <f t="shared" si="1"/>
        <v>17001.454166666666</v>
      </c>
      <c r="AP9" s="843">
        <f t="shared" si="1"/>
        <v>17001.454166666666</v>
      </c>
      <c r="AQ9" s="843">
        <f t="shared" si="1"/>
        <v>17001.454166666666</v>
      </c>
      <c r="AR9" s="843">
        <f t="shared" si="1"/>
        <v>17001.454166666666</v>
      </c>
      <c r="AS9" s="843">
        <f t="shared" si="1"/>
        <v>17001.454166666666</v>
      </c>
      <c r="AT9" s="843">
        <f t="shared" si="1"/>
        <v>17001.454166666666</v>
      </c>
      <c r="AU9" s="843">
        <f t="shared" si="1"/>
        <v>17001.454166666666</v>
      </c>
      <c r="AV9" s="843">
        <f t="shared" si="1"/>
        <v>17001.454166666666</v>
      </c>
      <c r="AW9" s="800"/>
      <c r="AX9" s="853" t="s">
        <v>386</v>
      </c>
      <c r="AY9" s="854">
        <f>SUM(AZ9:BK9)</f>
        <v>204017.44999999998</v>
      </c>
      <c r="AZ9" s="843">
        <f>((15693.65*52)/12)/4</f>
        <v>17001.454166666666</v>
      </c>
      <c r="BA9" s="843">
        <f t="shared" ref="BA9:BK9" si="2">((15693.65*52)/12)/4</f>
        <v>17001.454166666666</v>
      </c>
      <c r="BB9" s="843">
        <f t="shared" si="2"/>
        <v>17001.454166666666</v>
      </c>
      <c r="BC9" s="843">
        <f t="shared" si="2"/>
        <v>17001.454166666666</v>
      </c>
      <c r="BD9" s="843">
        <f t="shared" si="2"/>
        <v>17001.454166666666</v>
      </c>
      <c r="BE9" s="843">
        <f t="shared" si="2"/>
        <v>17001.454166666666</v>
      </c>
      <c r="BF9" s="843">
        <f t="shared" si="2"/>
        <v>17001.454166666666</v>
      </c>
      <c r="BG9" s="843">
        <f t="shared" si="2"/>
        <v>17001.454166666666</v>
      </c>
      <c r="BH9" s="843">
        <f t="shared" si="2"/>
        <v>17001.454166666666</v>
      </c>
      <c r="BI9" s="843">
        <f t="shared" si="2"/>
        <v>17001.454166666666</v>
      </c>
      <c r="BJ9" s="843">
        <f t="shared" si="2"/>
        <v>17001.454166666666</v>
      </c>
      <c r="BK9" s="843">
        <f t="shared" si="2"/>
        <v>17001.454166666666</v>
      </c>
      <c r="BL9" s="800"/>
      <c r="BM9" s="853" t="s">
        <v>386</v>
      </c>
      <c r="BN9" s="854">
        <f>SUM(BO9:BZ9)</f>
        <v>204017.44999999998</v>
      </c>
      <c r="BO9" s="843">
        <f>((15693.65*52)/12)/4</f>
        <v>17001.454166666666</v>
      </c>
      <c r="BP9" s="843">
        <f t="shared" ref="BP9:BZ9" si="3">((15693.65*52)/12)/4</f>
        <v>17001.454166666666</v>
      </c>
      <c r="BQ9" s="843">
        <f t="shared" si="3"/>
        <v>17001.454166666666</v>
      </c>
      <c r="BR9" s="843">
        <f t="shared" si="3"/>
        <v>17001.454166666666</v>
      </c>
      <c r="BS9" s="843">
        <f t="shared" si="3"/>
        <v>17001.454166666666</v>
      </c>
      <c r="BT9" s="843">
        <f t="shared" si="3"/>
        <v>17001.454166666666</v>
      </c>
      <c r="BU9" s="843">
        <f t="shared" si="3"/>
        <v>17001.454166666666</v>
      </c>
      <c r="BV9" s="843">
        <f t="shared" si="3"/>
        <v>17001.454166666666</v>
      </c>
      <c r="BW9" s="843">
        <f t="shared" si="3"/>
        <v>17001.454166666666</v>
      </c>
      <c r="BX9" s="843">
        <f t="shared" si="3"/>
        <v>17001.454166666666</v>
      </c>
      <c r="BY9" s="843">
        <f t="shared" si="3"/>
        <v>17001.454166666666</v>
      </c>
      <c r="BZ9" s="843">
        <f t="shared" si="3"/>
        <v>17001.454166666666</v>
      </c>
      <c r="CA9" s="800"/>
    </row>
    <row r="10" spans="1:79">
      <c r="B10" s="852" t="s">
        <v>384</v>
      </c>
      <c r="C10" s="811">
        <f>(U10+AJ10+AY10+BN10)</f>
        <v>16321.239999999996</v>
      </c>
      <c r="E10" s="324"/>
      <c r="F10" s="815"/>
      <c r="G10" s="816"/>
      <c r="H10" s="816"/>
      <c r="I10" s="816"/>
      <c r="J10" s="816"/>
      <c r="K10" s="816"/>
      <c r="L10" s="816"/>
      <c r="M10" s="817"/>
      <c r="N10" s="816"/>
      <c r="O10" s="817"/>
      <c r="P10" s="817"/>
      <c r="Q10" s="817"/>
      <c r="R10" s="817"/>
      <c r="S10" s="800"/>
      <c r="T10" s="852" t="s">
        <v>384</v>
      </c>
      <c r="U10" s="854">
        <f>SUM(V10:AG10)</f>
        <v>4080.309999999999</v>
      </c>
      <c r="V10" s="843">
        <f>((313.87*52)/12)/4</f>
        <v>340.02583333333331</v>
      </c>
      <c r="W10" s="843">
        <f t="shared" ref="W10:AG10" si="4">((313.87*52)/12)/4</f>
        <v>340.02583333333331</v>
      </c>
      <c r="X10" s="843">
        <f t="shared" si="4"/>
        <v>340.02583333333331</v>
      </c>
      <c r="Y10" s="843">
        <f t="shared" si="4"/>
        <v>340.02583333333331</v>
      </c>
      <c r="Z10" s="843">
        <f t="shared" si="4"/>
        <v>340.02583333333331</v>
      </c>
      <c r="AA10" s="843">
        <f t="shared" si="4"/>
        <v>340.02583333333331</v>
      </c>
      <c r="AB10" s="843">
        <f t="shared" si="4"/>
        <v>340.02583333333331</v>
      </c>
      <c r="AC10" s="843">
        <f t="shared" si="4"/>
        <v>340.02583333333331</v>
      </c>
      <c r="AD10" s="843">
        <f t="shared" si="4"/>
        <v>340.02583333333331</v>
      </c>
      <c r="AE10" s="843">
        <f t="shared" si="4"/>
        <v>340.02583333333331</v>
      </c>
      <c r="AF10" s="843">
        <f t="shared" si="4"/>
        <v>340.02583333333331</v>
      </c>
      <c r="AG10" s="843">
        <f t="shared" si="4"/>
        <v>340.02583333333331</v>
      </c>
      <c r="AH10" s="800"/>
      <c r="AI10" s="852" t="s">
        <v>384</v>
      </c>
      <c r="AJ10" s="854">
        <f>SUM(AK10:AV10)</f>
        <v>4080.309999999999</v>
      </c>
      <c r="AK10" s="843">
        <f>((313.87*52)/12)/4</f>
        <v>340.02583333333331</v>
      </c>
      <c r="AL10" s="843">
        <f t="shared" ref="AL10:AV10" si="5">((313.87*52)/12)/4</f>
        <v>340.02583333333331</v>
      </c>
      <c r="AM10" s="843">
        <f t="shared" si="5"/>
        <v>340.02583333333331</v>
      </c>
      <c r="AN10" s="843">
        <f t="shared" si="5"/>
        <v>340.02583333333331</v>
      </c>
      <c r="AO10" s="843">
        <f t="shared" si="5"/>
        <v>340.02583333333331</v>
      </c>
      <c r="AP10" s="843">
        <f t="shared" si="5"/>
        <v>340.02583333333331</v>
      </c>
      <c r="AQ10" s="843">
        <f t="shared" si="5"/>
        <v>340.02583333333331</v>
      </c>
      <c r="AR10" s="843">
        <f t="shared" si="5"/>
        <v>340.02583333333331</v>
      </c>
      <c r="AS10" s="843">
        <f t="shared" si="5"/>
        <v>340.02583333333331</v>
      </c>
      <c r="AT10" s="843">
        <f t="shared" si="5"/>
        <v>340.02583333333331</v>
      </c>
      <c r="AU10" s="843">
        <f t="shared" si="5"/>
        <v>340.02583333333331</v>
      </c>
      <c r="AV10" s="843">
        <f t="shared" si="5"/>
        <v>340.02583333333331</v>
      </c>
      <c r="AW10" s="800"/>
      <c r="AX10" s="852" t="s">
        <v>384</v>
      </c>
      <c r="AY10" s="854">
        <f>SUM(AZ10:BK10)</f>
        <v>4080.309999999999</v>
      </c>
      <c r="AZ10" s="843">
        <f>((313.87*52)/12)/4</f>
        <v>340.02583333333331</v>
      </c>
      <c r="BA10" s="843">
        <f t="shared" ref="BA10:BK10" si="6">((313.87*52)/12)/4</f>
        <v>340.02583333333331</v>
      </c>
      <c r="BB10" s="843">
        <f t="shared" si="6"/>
        <v>340.02583333333331</v>
      </c>
      <c r="BC10" s="843">
        <f t="shared" si="6"/>
        <v>340.02583333333331</v>
      </c>
      <c r="BD10" s="843">
        <f t="shared" si="6"/>
        <v>340.02583333333331</v>
      </c>
      <c r="BE10" s="843">
        <f t="shared" si="6"/>
        <v>340.02583333333331</v>
      </c>
      <c r="BF10" s="843">
        <f t="shared" si="6"/>
        <v>340.02583333333331</v>
      </c>
      <c r="BG10" s="843">
        <f t="shared" si="6"/>
        <v>340.02583333333331</v>
      </c>
      <c r="BH10" s="843">
        <f t="shared" si="6"/>
        <v>340.02583333333331</v>
      </c>
      <c r="BI10" s="843">
        <f t="shared" si="6"/>
        <v>340.02583333333331</v>
      </c>
      <c r="BJ10" s="843">
        <f t="shared" si="6"/>
        <v>340.02583333333331</v>
      </c>
      <c r="BK10" s="843">
        <f t="shared" si="6"/>
        <v>340.02583333333331</v>
      </c>
      <c r="BL10" s="800"/>
      <c r="BM10" s="852" t="s">
        <v>384</v>
      </c>
      <c r="BN10" s="854">
        <f>SUM(BO10:BZ10)</f>
        <v>4080.309999999999</v>
      </c>
      <c r="BO10" s="843">
        <f>((313.87*52)/12)/4</f>
        <v>340.02583333333331</v>
      </c>
      <c r="BP10" s="843">
        <f t="shared" ref="BP10:BZ10" si="7">((313.87*52)/12)/4</f>
        <v>340.02583333333331</v>
      </c>
      <c r="BQ10" s="843">
        <f t="shared" si="7"/>
        <v>340.02583333333331</v>
      </c>
      <c r="BR10" s="843">
        <f t="shared" si="7"/>
        <v>340.02583333333331</v>
      </c>
      <c r="BS10" s="843">
        <f t="shared" si="7"/>
        <v>340.02583333333331</v>
      </c>
      <c r="BT10" s="843">
        <f t="shared" si="7"/>
        <v>340.02583333333331</v>
      </c>
      <c r="BU10" s="843">
        <f t="shared" si="7"/>
        <v>340.02583333333331</v>
      </c>
      <c r="BV10" s="843">
        <f t="shared" si="7"/>
        <v>340.02583333333331</v>
      </c>
      <c r="BW10" s="843">
        <f t="shared" si="7"/>
        <v>340.02583333333331</v>
      </c>
      <c r="BX10" s="843">
        <f t="shared" si="7"/>
        <v>340.02583333333331</v>
      </c>
      <c r="BY10" s="843">
        <f t="shared" si="7"/>
        <v>340.02583333333331</v>
      </c>
      <c r="BZ10" s="843">
        <f t="shared" si="7"/>
        <v>340.02583333333331</v>
      </c>
      <c r="CA10" s="800"/>
    </row>
    <row r="11" spans="1:79">
      <c r="C11" s="812"/>
      <c r="F11" s="812"/>
      <c r="G11" s="817"/>
      <c r="H11" s="817"/>
      <c r="I11" s="817"/>
      <c r="J11" s="817"/>
      <c r="K11" s="817"/>
      <c r="L11" s="817"/>
      <c r="M11" s="817"/>
      <c r="N11" s="817"/>
      <c r="O11" s="817"/>
      <c r="P11" s="817"/>
      <c r="Q11" s="817"/>
      <c r="R11" s="817"/>
      <c r="S11" s="800"/>
      <c r="U11" s="845"/>
      <c r="V11" s="834"/>
      <c r="W11" s="834"/>
      <c r="X11" s="834"/>
      <c r="Y11" s="834"/>
      <c r="Z11" s="834"/>
      <c r="AA11" s="834"/>
      <c r="AB11" s="834"/>
      <c r="AC11" s="834"/>
      <c r="AD11" s="834"/>
      <c r="AE11" s="834"/>
      <c r="AF11" s="834"/>
      <c r="AG11" s="834"/>
      <c r="AH11" s="800"/>
      <c r="AJ11" s="825"/>
      <c r="AK11" s="78"/>
      <c r="AL11" s="78"/>
      <c r="AM11" s="78"/>
      <c r="AN11" s="78"/>
      <c r="AO11" s="78"/>
      <c r="AP11" s="78"/>
      <c r="AQ11" s="78"/>
      <c r="AR11" s="78"/>
      <c r="AS11" s="78"/>
      <c r="AT11" s="78"/>
      <c r="AU11" s="78"/>
      <c r="AV11" s="78"/>
      <c r="AW11" s="800"/>
      <c r="AY11" s="812"/>
      <c r="AZ11" s="817"/>
      <c r="BA11" s="817"/>
      <c r="BB11" s="817"/>
      <c r="BC11" s="817"/>
      <c r="BD11" s="817"/>
      <c r="BE11" s="817"/>
      <c r="BF11" s="817"/>
      <c r="BG11" s="817"/>
      <c r="BH11" s="817"/>
      <c r="BI11" s="817"/>
      <c r="BJ11" s="817"/>
      <c r="BK11" s="817"/>
      <c r="BL11" s="800"/>
      <c r="BN11" s="812"/>
      <c r="BO11" s="817"/>
      <c r="BP11" s="817"/>
      <c r="BQ11" s="817"/>
      <c r="BR11" s="817"/>
      <c r="BS11" s="817"/>
      <c r="BT11" s="817"/>
      <c r="BU11" s="817"/>
      <c r="BV11" s="817"/>
      <c r="BW11" s="817"/>
      <c r="BX11" s="817"/>
      <c r="BY11" s="817"/>
      <c r="BZ11" s="817"/>
      <c r="CA11" s="800"/>
    </row>
    <row r="12" spans="1:79" ht="15.75" thickBot="1">
      <c r="B12" s="293" t="s">
        <v>388</v>
      </c>
      <c r="C12" s="846">
        <f>SUM(C6:C10)</f>
        <v>1269923.7269599999</v>
      </c>
      <c r="E12" s="293" t="s">
        <v>388</v>
      </c>
      <c r="F12" s="813">
        <f>SUM(F6:F9)</f>
        <v>643188.32259999996</v>
      </c>
      <c r="G12" s="818" t="e">
        <f>+#REF!</f>
        <v>#REF!</v>
      </c>
      <c r="H12" s="818" t="e">
        <f>+#REF!</f>
        <v>#REF!</v>
      </c>
      <c r="I12" s="818" t="e">
        <f>+#REF!</f>
        <v>#REF!</v>
      </c>
      <c r="J12" s="818" t="e">
        <f>+#REF!</f>
        <v>#REF!</v>
      </c>
      <c r="K12" s="818" t="e">
        <f>+#REF!</f>
        <v>#REF!</v>
      </c>
      <c r="L12" s="818" t="e">
        <f>+#REF!</f>
        <v>#REF!</v>
      </c>
      <c r="M12" s="818" t="e">
        <f>+#REF!</f>
        <v>#REF!</v>
      </c>
      <c r="N12" s="818" t="e">
        <f>+#REF!</f>
        <v>#REF!</v>
      </c>
      <c r="O12" s="818" t="e">
        <f>+#REF!</f>
        <v>#REF!</v>
      </c>
      <c r="P12" s="818" t="e">
        <f>+#REF!</f>
        <v>#REF!</v>
      </c>
      <c r="Q12" s="818" t="e">
        <f>+#REF!</f>
        <v>#REF!</v>
      </c>
      <c r="R12" s="818" t="e">
        <f>+#REF!</f>
        <v>#REF!</v>
      </c>
      <c r="S12" s="800"/>
      <c r="T12" s="293" t="s">
        <v>388</v>
      </c>
      <c r="U12" s="846">
        <f>SUM(U6:U10)</f>
        <v>354099.489</v>
      </c>
      <c r="V12" s="846">
        <f t="shared" ref="V12:AG12" si="8">SUM(V6:V10)</f>
        <v>39457.786399999997</v>
      </c>
      <c r="W12" s="846">
        <f t="shared" si="8"/>
        <v>31698.296200000001</v>
      </c>
      <c r="X12" s="846">
        <f t="shared" si="8"/>
        <v>39224.072</v>
      </c>
      <c r="Y12" s="846">
        <f t="shared" si="8"/>
        <v>35505.371200000001</v>
      </c>
      <c r="Z12" s="846">
        <f t="shared" si="8"/>
        <v>35467.456400000003</v>
      </c>
      <c r="AA12" s="846">
        <f t="shared" si="8"/>
        <v>35813.166800000006</v>
      </c>
      <c r="AB12" s="846">
        <f t="shared" si="8"/>
        <v>50225.94</v>
      </c>
      <c r="AC12" s="846">
        <f t="shared" si="8"/>
        <v>17341.48</v>
      </c>
      <c r="AD12" s="846">
        <f t="shared" si="8"/>
        <v>17341.48</v>
      </c>
      <c r="AE12" s="846">
        <f t="shared" si="8"/>
        <v>17341.48</v>
      </c>
      <c r="AF12" s="846">
        <f t="shared" si="8"/>
        <v>17341.48</v>
      </c>
      <c r="AG12" s="846">
        <f t="shared" si="8"/>
        <v>17341.48</v>
      </c>
      <c r="AH12" s="800"/>
      <c r="AI12" s="293" t="s">
        <v>388</v>
      </c>
      <c r="AJ12" s="846">
        <f>SUM(AJ6:AJ10)</f>
        <v>362154.58555999998</v>
      </c>
      <c r="AK12" s="846">
        <f t="shared" ref="AK12:AV12" si="9">SUM(AK6:AK10)</f>
        <v>44040.364359999992</v>
      </c>
      <c r="AL12" s="846">
        <f t="shared" si="9"/>
        <v>32726.588799999998</v>
      </c>
      <c r="AM12" s="846">
        <f t="shared" si="9"/>
        <v>42983.361999999994</v>
      </c>
      <c r="AN12" s="846">
        <f t="shared" si="9"/>
        <v>38038.1368</v>
      </c>
      <c r="AO12" s="846">
        <f t="shared" si="9"/>
        <v>38221.288</v>
      </c>
      <c r="AP12" s="846">
        <f t="shared" si="9"/>
        <v>37854.9856</v>
      </c>
      <c r="AQ12" s="846">
        <f t="shared" si="9"/>
        <v>40428.879999999997</v>
      </c>
      <c r="AR12" s="846">
        <f t="shared" si="9"/>
        <v>17341.48</v>
      </c>
      <c r="AS12" s="846">
        <f t="shared" si="9"/>
        <v>17559.560000000001</v>
      </c>
      <c r="AT12" s="846">
        <f t="shared" si="9"/>
        <v>18164.98</v>
      </c>
      <c r="AU12" s="846">
        <f t="shared" si="9"/>
        <v>17453.48</v>
      </c>
      <c r="AV12" s="846">
        <f t="shared" si="9"/>
        <v>17341.48</v>
      </c>
      <c r="AW12" s="800"/>
      <c r="AX12" s="293" t="s">
        <v>388</v>
      </c>
      <c r="AY12" s="846">
        <f>SUM(AY6:AY10)</f>
        <v>313535.4278</v>
      </c>
      <c r="AZ12" s="846">
        <f t="shared" ref="AZ12:BK12" si="10">SUM(AZ6:AZ10)</f>
        <v>35318.343000000001</v>
      </c>
      <c r="BA12" s="846">
        <f t="shared" si="10"/>
        <v>28088.5978</v>
      </c>
      <c r="BB12" s="846">
        <f t="shared" si="10"/>
        <v>34916.275800000003</v>
      </c>
      <c r="BC12" s="846">
        <f t="shared" si="10"/>
        <v>31670.970399999998</v>
      </c>
      <c r="BD12" s="846">
        <f t="shared" si="10"/>
        <v>31670.970399999998</v>
      </c>
      <c r="BE12" s="846">
        <f t="shared" si="10"/>
        <v>31670.970399999998</v>
      </c>
      <c r="BF12" s="846">
        <f t="shared" si="10"/>
        <v>33491.9</v>
      </c>
      <c r="BG12" s="846">
        <f t="shared" si="10"/>
        <v>17341.48</v>
      </c>
      <c r="BH12" s="846">
        <f t="shared" si="10"/>
        <v>17341.48</v>
      </c>
      <c r="BI12" s="846">
        <f t="shared" si="10"/>
        <v>17341.48</v>
      </c>
      <c r="BJ12" s="846">
        <f t="shared" si="10"/>
        <v>17341.48</v>
      </c>
      <c r="BK12" s="846">
        <f t="shared" si="10"/>
        <v>17341.48</v>
      </c>
      <c r="BL12" s="800"/>
      <c r="BM12" s="293" t="s">
        <v>388</v>
      </c>
      <c r="BN12" s="846">
        <f>SUM(BN6:BN10)</f>
        <v>240134.22459999999</v>
      </c>
      <c r="BO12" s="846">
        <f>SUM(BO6:BO10)</f>
        <v>18758.529399999999</v>
      </c>
      <c r="BP12" s="846">
        <f t="shared" ref="BP12:BZ12" si="11">SUM(BP6:BP10)</f>
        <v>18534.6528</v>
      </c>
      <c r="BQ12" s="846">
        <f t="shared" si="11"/>
        <v>19662.070199999998</v>
      </c>
      <c r="BR12" s="846">
        <f t="shared" si="11"/>
        <v>18536.3256</v>
      </c>
      <c r="BS12" s="846">
        <f t="shared" si="11"/>
        <v>18984.0638</v>
      </c>
      <c r="BT12" s="846">
        <f t="shared" si="11"/>
        <v>20746.842799999999</v>
      </c>
      <c r="BU12" s="846">
        <f t="shared" si="11"/>
        <v>18413.48</v>
      </c>
      <c r="BV12" s="846">
        <f t="shared" si="11"/>
        <v>18647.98</v>
      </c>
      <c r="BW12" s="846">
        <f t="shared" si="11"/>
        <v>18755.079999999998</v>
      </c>
      <c r="BX12" s="846">
        <f t="shared" si="11"/>
        <v>26355.08</v>
      </c>
      <c r="BY12" s="846">
        <f t="shared" si="11"/>
        <v>24759.64</v>
      </c>
      <c r="BZ12" s="846">
        <f t="shared" si="11"/>
        <v>17980.48</v>
      </c>
      <c r="CA12" s="800"/>
    </row>
    <row r="13" spans="1:79" ht="15.75" thickTop="1">
      <c r="C13" s="812"/>
      <c r="F13" s="812"/>
      <c r="G13" s="817"/>
      <c r="H13" s="817"/>
      <c r="I13" s="817"/>
      <c r="J13" s="817"/>
      <c r="K13" s="817"/>
      <c r="L13" s="817"/>
      <c r="M13" s="817"/>
      <c r="N13" s="817"/>
      <c r="O13" s="817"/>
      <c r="P13" s="817"/>
      <c r="Q13" s="817"/>
      <c r="R13" s="817"/>
      <c r="S13" s="800"/>
      <c r="U13" s="845"/>
      <c r="V13" s="834"/>
      <c r="W13" s="834"/>
      <c r="X13" s="834"/>
      <c r="Y13" s="834"/>
      <c r="Z13" s="834"/>
      <c r="AA13" s="834"/>
      <c r="AB13" s="834"/>
      <c r="AC13" s="834"/>
      <c r="AD13" s="834"/>
      <c r="AE13" s="834"/>
      <c r="AF13" s="834"/>
      <c r="AG13" s="834"/>
      <c r="AH13" s="800"/>
      <c r="AJ13" s="825"/>
      <c r="AK13" s="78"/>
      <c r="AL13" s="78"/>
      <c r="AM13" s="78"/>
      <c r="AN13" s="78"/>
      <c r="AO13" s="78"/>
      <c r="AP13" s="78"/>
      <c r="AQ13" s="78"/>
      <c r="AR13" s="78"/>
      <c r="AS13" s="78"/>
      <c r="AT13" s="78"/>
      <c r="AU13" s="78"/>
      <c r="AV13" s="78"/>
      <c r="AW13" s="800"/>
      <c r="AY13" s="812"/>
      <c r="AZ13" s="817"/>
      <c r="BA13" s="817"/>
      <c r="BB13" s="817"/>
      <c r="BC13" s="817"/>
      <c r="BD13" s="817"/>
      <c r="BE13" s="817"/>
      <c r="BF13" s="817"/>
      <c r="BG13" s="817"/>
      <c r="BH13" s="817"/>
      <c r="BI13" s="817"/>
      <c r="BJ13" s="817"/>
      <c r="BK13" s="817"/>
      <c r="BL13" s="800"/>
      <c r="BN13" s="812"/>
      <c r="BO13" s="817"/>
      <c r="BP13" s="817"/>
      <c r="BQ13" s="817"/>
      <c r="BR13" s="817"/>
      <c r="BS13" s="817"/>
      <c r="BT13" s="817"/>
      <c r="BU13" s="817"/>
      <c r="BV13" s="817"/>
      <c r="BW13" s="817"/>
      <c r="BX13" s="817"/>
      <c r="BY13" s="817"/>
      <c r="BZ13" s="817"/>
      <c r="CA13" s="800"/>
    </row>
    <row r="14" spans="1:79">
      <c r="C14" s="812"/>
      <c r="F14" s="812"/>
      <c r="G14" s="817"/>
      <c r="H14" s="817"/>
      <c r="I14" s="817"/>
      <c r="J14" s="817"/>
      <c r="K14" s="817"/>
      <c r="L14" s="817"/>
      <c r="M14" s="817"/>
      <c r="N14" s="817"/>
      <c r="O14" s="817"/>
      <c r="P14" s="817"/>
      <c r="Q14" s="817"/>
      <c r="R14" s="817"/>
      <c r="S14" s="800"/>
      <c r="U14" s="845"/>
      <c r="V14" s="834"/>
      <c r="W14" s="834"/>
      <c r="X14" s="834"/>
      <c r="Y14" s="834"/>
      <c r="Z14" s="834"/>
      <c r="AA14" s="834"/>
      <c r="AB14" s="834"/>
      <c r="AC14" s="834"/>
      <c r="AD14" s="834"/>
      <c r="AE14" s="834"/>
      <c r="AF14" s="834"/>
      <c r="AG14" s="834"/>
      <c r="AH14" s="800"/>
      <c r="AJ14" s="825"/>
      <c r="AK14" s="78"/>
      <c r="AL14" s="78"/>
      <c r="AM14" s="78"/>
      <c r="AN14" s="78"/>
      <c r="AO14" s="78"/>
      <c r="AP14" s="78"/>
      <c r="AQ14" s="78"/>
      <c r="AR14" s="78"/>
      <c r="AS14" s="78"/>
      <c r="AT14" s="78"/>
      <c r="AU14" s="78"/>
      <c r="AV14" s="78"/>
      <c r="AW14" s="800"/>
      <c r="AY14" s="812"/>
      <c r="AZ14" s="817"/>
      <c r="BA14" s="817"/>
      <c r="BB14" s="817"/>
      <c r="BC14" s="817"/>
      <c r="BD14" s="817"/>
      <c r="BE14" s="817"/>
      <c r="BF14" s="817"/>
      <c r="BG14" s="817"/>
      <c r="BH14" s="817"/>
      <c r="BI14" s="817"/>
      <c r="BJ14" s="817"/>
      <c r="BK14" s="817"/>
      <c r="BL14" s="800"/>
      <c r="BN14" s="812"/>
      <c r="BO14" s="817"/>
      <c r="BP14" s="817"/>
      <c r="BQ14" s="817"/>
      <c r="BR14" s="817"/>
      <c r="BS14" s="817"/>
      <c r="BT14" s="817"/>
      <c r="BU14" s="817"/>
      <c r="BV14" s="817"/>
      <c r="BW14" s="817"/>
      <c r="BX14" s="817"/>
      <c r="BY14" s="817"/>
      <c r="BZ14" s="817"/>
      <c r="CA14" s="800"/>
    </row>
    <row r="15" spans="1:79">
      <c r="B15" s="294" t="s">
        <v>403</v>
      </c>
      <c r="C15" s="811">
        <f t="shared" ref="C15:C21" si="12">(U15+AJ15+AY15+BN15)</f>
        <v>377475.81</v>
      </c>
      <c r="D15" s="792"/>
      <c r="E15" s="294" t="s">
        <v>389</v>
      </c>
      <c r="F15" s="815">
        <f>SUM(G15:R15)</f>
        <v>580962.92999999993</v>
      </c>
      <c r="G15" s="816">
        <v>67500</v>
      </c>
      <c r="H15" s="816">
        <v>35249.985000000001</v>
      </c>
      <c r="I15" s="816">
        <v>62249.985000000001</v>
      </c>
      <c r="J15" s="816">
        <v>48000.06</v>
      </c>
      <c r="K15" s="816">
        <v>48000.06</v>
      </c>
      <c r="L15" s="816">
        <v>72250.11</v>
      </c>
      <c r="M15" s="816">
        <v>48500.1</v>
      </c>
      <c r="N15" s="816">
        <v>50925.03</v>
      </c>
      <c r="O15" s="816">
        <v>27800</v>
      </c>
      <c r="P15" s="816">
        <v>52762.55</v>
      </c>
      <c r="Q15" s="819">
        <v>12337.52</v>
      </c>
      <c r="R15" s="816">
        <v>55387.53</v>
      </c>
      <c r="S15" s="801"/>
      <c r="T15" s="294" t="s">
        <v>389</v>
      </c>
      <c r="U15" s="842">
        <f t="shared" ref="U15:U21" si="13">SUM(V15:AG15)</f>
        <v>356475.42</v>
      </c>
      <c r="V15" s="843">
        <v>50925.06</v>
      </c>
      <c r="W15" s="843">
        <v>50925.06</v>
      </c>
      <c r="X15" s="843">
        <v>50925.06</v>
      </c>
      <c r="Y15" s="843">
        <v>50925.06</v>
      </c>
      <c r="Z15" s="843">
        <v>50925.06</v>
      </c>
      <c r="AA15" s="843">
        <v>50925.06</v>
      </c>
      <c r="AB15" s="843">
        <v>50925.06</v>
      </c>
      <c r="AC15" s="843"/>
      <c r="AD15" s="843"/>
      <c r="AE15" s="843"/>
      <c r="AF15" s="847"/>
      <c r="AG15" s="843"/>
      <c r="AH15" s="801"/>
      <c r="AI15" s="294" t="s">
        <v>390</v>
      </c>
      <c r="AJ15" s="823">
        <f t="shared" ref="AJ15:AJ21" si="14">SUM(AK15:AV15)</f>
        <v>6600</v>
      </c>
      <c r="AK15" s="824"/>
      <c r="AL15" s="824"/>
      <c r="AM15" s="824"/>
      <c r="AN15" s="824"/>
      <c r="AO15" s="824"/>
      <c r="AP15" s="824"/>
      <c r="AQ15" s="824">
        <v>6600</v>
      </c>
      <c r="AR15" s="824"/>
      <c r="AS15" s="824"/>
      <c r="AT15" s="824"/>
      <c r="AU15" s="826"/>
      <c r="AV15" s="824"/>
      <c r="AW15" s="801"/>
      <c r="AX15" s="294" t="s">
        <v>401</v>
      </c>
      <c r="AY15" s="829">
        <f t="shared" ref="AY15:AY21" si="15">SUM(AZ15:BK15)</f>
        <v>3888.62</v>
      </c>
      <c r="AZ15" s="816"/>
      <c r="BA15" s="816">
        <v>2448.37</v>
      </c>
      <c r="BB15" s="816"/>
      <c r="BC15" s="816">
        <v>1440.25</v>
      </c>
      <c r="BD15" s="816"/>
      <c r="BE15" s="816"/>
      <c r="BF15" s="816"/>
      <c r="BG15" s="816"/>
      <c r="BH15" s="816"/>
      <c r="BI15" s="816"/>
      <c r="BJ15" s="819"/>
      <c r="BK15" s="816"/>
      <c r="BL15" s="801"/>
      <c r="BM15" s="294" t="s">
        <v>403</v>
      </c>
      <c r="BN15" s="829">
        <f t="shared" ref="BN15:BN21" si="16">SUM(BO15:BZ15)</f>
        <v>10511.769999999999</v>
      </c>
      <c r="BO15" s="811">
        <v>2408.2800000000002</v>
      </c>
      <c r="BP15" s="811">
        <v>254.01999999999998</v>
      </c>
      <c r="BQ15" s="811">
        <v>6352.0699999999979</v>
      </c>
      <c r="BR15" s="811">
        <v>1497.4</v>
      </c>
      <c r="BS15" s="816"/>
      <c r="BT15" s="816"/>
      <c r="BU15" s="816"/>
      <c r="BV15" s="816"/>
      <c r="BW15" s="816"/>
      <c r="BX15" s="816"/>
      <c r="BY15" s="819"/>
      <c r="BZ15" s="816"/>
      <c r="CA15" s="801"/>
    </row>
    <row r="16" spans="1:79">
      <c r="B16" s="855" t="s">
        <v>391</v>
      </c>
      <c r="C16" s="811">
        <f t="shared" si="12"/>
        <v>59091.21</v>
      </c>
      <c r="E16" s="294" t="s">
        <v>391</v>
      </c>
      <c r="F16" s="815">
        <f t="shared" ref="F16:F21" si="17">SUM(G16:R16)</f>
        <v>62130.311000000002</v>
      </c>
      <c r="G16" s="816">
        <f>6709.05+2069.9</f>
        <v>8778.9500000000007</v>
      </c>
      <c r="H16" s="816">
        <f>171+3013.9</f>
        <v>3184.9</v>
      </c>
      <c r="I16" s="816">
        <v>2778</v>
      </c>
      <c r="J16" s="816">
        <f>213.5+2594</f>
        <v>2807.5</v>
      </c>
      <c r="K16" s="816">
        <f>5637.74+350</f>
        <v>5987.74</v>
      </c>
      <c r="L16" s="816">
        <f>3319.91+2509.29</f>
        <v>5829.2</v>
      </c>
      <c r="M16" s="816">
        <f>1348.8+685+305</f>
        <v>2338.8000000000002</v>
      </c>
      <c r="N16" s="816">
        <f>1340.46+4123.3</f>
        <v>5463.76</v>
      </c>
      <c r="O16" s="816">
        <v>7851.84</v>
      </c>
      <c r="P16" s="816">
        <f>2251.091+260.6+1722.29</f>
        <v>4233.9809999999998</v>
      </c>
      <c r="Q16" s="819">
        <v>8414</v>
      </c>
      <c r="R16" s="816">
        <v>4461.6399999999994</v>
      </c>
      <c r="S16" s="800"/>
      <c r="T16" s="852" t="s">
        <v>383</v>
      </c>
      <c r="U16" s="854">
        <f>SUM(V16:AG16)</f>
        <v>28316.97</v>
      </c>
      <c r="V16" s="843"/>
      <c r="W16" s="843"/>
      <c r="X16" s="843">
        <v>5007.5</v>
      </c>
      <c r="Y16" s="843">
        <v>4561.8900000000003</v>
      </c>
      <c r="Z16" s="843"/>
      <c r="AA16" s="843"/>
      <c r="AB16" s="843">
        <v>5002.3</v>
      </c>
      <c r="AC16" s="843">
        <v>6329.38</v>
      </c>
      <c r="AD16" s="843"/>
      <c r="AE16" s="843"/>
      <c r="AF16" s="847">
        <v>5698.9</v>
      </c>
      <c r="AG16" s="843">
        <v>1717</v>
      </c>
      <c r="AH16" s="800"/>
      <c r="AI16" s="852" t="s">
        <v>383</v>
      </c>
      <c r="AJ16" s="854">
        <f>SUM(AK16:AV16)</f>
        <v>3692.86</v>
      </c>
      <c r="AK16" s="824"/>
      <c r="AL16" s="824">
        <v>80</v>
      </c>
      <c r="AM16" s="824">
        <v>1870.8000000000002</v>
      </c>
      <c r="AN16" s="824">
        <v>228.92</v>
      </c>
      <c r="AO16" s="824"/>
      <c r="AP16" s="824"/>
      <c r="AQ16" s="824"/>
      <c r="AR16" s="824"/>
      <c r="AS16" s="824"/>
      <c r="AT16" s="824">
        <v>86.4</v>
      </c>
      <c r="AU16" s="826">
        <v>301.14</v>
      </c>
      <c r="AV16" s="824">
        <v>1125.5999999999999</v>
      </c>
      <c r="AW16" s="800"/>
      <c r="AX16" s="852" t="s">
        <v>383</v>
      </c>
      <c r="AY16" s="854">
        <f>SUM(AZ16:BK16)</f>
        <v>24947</v>
      </c>
      <c r="AZ16" s="816">
        <v>2080</v>
      </c>
      <c r="BA16" s="816">
        <v>2218</v>
      </c>
      <c r="BB16" s="816">
        <v>2309</v>
      </c>
      <c r="BC16" s="816"/>
      <c r="BD16" s="816">
        <v>2466</v>
      </c>
      <c r="BE16" s="816">
        <v>2290</v>
      </c>
      <c r="BF16" s="816">
        <v>2080</v>
      </c>
      <c r="BG16" s="816">
        <v>2346</v>
      </c>
      <c r="BH16" s="816">
        <v>2333.4</v>
      </c>
      <c r="BI16" s="816">
        <v>2360</v>
      </c>
      <c r="BJ16" s="819">
        <v>2424.6</v>
      </c>
      <c r="BK16" s="816">
        <v>2040</v>
      </c>
      <c r="BL16" s="800"/>
      <c r="BM16" s="852" t="s">
        <v>383</v>
      </c>
      <c r="BN16" s="854">
        <f>SUM(BO16:BZ16)</f>
        <v>2134.38</v>
      </c>
      <c r="BO16" s="816"/>
      <c r="BP16" s="816"/>
      <c r="BQ16" s="816"/>
      <c r="BR16" s="816"/>
      <c r="BS16" s="816"/>
      <c r="BT16" s="816">
        <v>1887.88</v>
      </c>
      <c r="BU16" s="816"/>
      <c r="BV16" s="816"/>
      <c r="BW16" s="816"/>
      <c r="BX16" s="816"/>
      <c r="BY16" s="819">
        <v>246.5</v>
      </c>
      <c r="BZ16" s="816"/>
      <c r="CA16" s="800"/>
    </row>
    <row r="17" spans="1:79">
      <c r="A17" s="295"/>
      <c r="B17" t="s">
        <v>481</v>
      </c>
      <c r="C17" s="811">
        <f t="shared" si="12"/>
        <v>786834.24580000003</v>
      </c>
      <c r="E17" t="s">
        <v>481</v>
      </c>
      <c r="F17" s="815">
        <f>SUM(G17:R17)</f>
        <v>523248.54360000003</v>
      </c>
      <c r="G17" s="816">
        <v>35303.659400000004</v>
      </c>
      <c r="H17" s="816">
        <v>37134.310200000014</v>
      </c>
      <c r="I17" s="816">
        <v>50834.719800000006</v>
      </c>
      <c r="J17" s="816">
        <v>35698.600000000006</v>
      </c>
      <c r="K17" s="816">
        <f>3000+36590.2764</f>
        <v>39590.276400000002</v>
      </c>
      <c r="L17" s="816">
        <f>50599.059</f>
        <v>50599.059000000001</v>
      </c>
      <c r="M17" s="816">
        <v>49317.038800000017</v>
      </c>
      <c r="N17" s="816">
        <v>50884.62000000001</v>
      </c>
      <c r="O17" s="816">
        <v>44398.05000000001</v>
      </c>
      <c r="P17" s="816">
        <v>35614.910000000003</v>
      </c>
      <c r="Q17" s="817">
        <v>44238.01</v>
      </c>
      <c r="R17" s="817">
        <v>49635.289999999994</v>
      </c>
      <c r="S17" s="800"/>
      <c r="T17" t="s">
        <v>481</v>
      </c>
      <c r="U17" s="842">
        <f t="shared" si="13"/>
        <v>73776.306600000011</v>
      </c>
      <c r="V17" s="843">
        <v>14600.630000000001</v>
      </c>
      <c r="W17" s="843">
        <v>8471.4322000000011</v>
      </c>
      <c r="X17" s="843">
        <v>14526.460000000003</v>
      </c>
      <c r="Y17" s="843">
        <v>11220.44</v>
      </c>
      <c r="Z17" s="843">
        <v>13624.7</v>
      </c>
      <c r="AA17" s="843">
        <v>11332.644400000001</v>
      </c>
      <c r="AB17" s="848"/>
      <c r="AC17" s="843"/>
      <c r="AD17" s="843"/>
      <c r="AE17" s="843"/>
      <c r="AF17" s="834"/>
      <c r="AG17" s="834"/>
      <c r="AH17" s="800"/>
      <c r="AI17" s="1027" t="s">
        <v>481</v>
      </c>
      <c r="AJ17" s="823">
        <f t="shared" si="14"/>
        <v>191800</v>
      </c>
      <c r="AK17" s="824">
        <v>24800</v>
      </c>
      <c r="AL17" s="824">
        <v>24800</v>
      </c>
      <c r="AM17" s="824">
        <v>33100</v>
      </c>
      <c r="AN17" s="824">
        <v>26300</v>
      </c>
      <c r="AO17" s="824">
        <v>27600</v>
      </c>
      <c r="AP17" s="824">
        <v>27600</v>
      </c>
      <c r="AQ17" s="824">
        <v>27600</v>
      </c>
      <c r="AR17" s="824"/>
      <c r="AS17" s="824"/>
      <c r="AT17" s="824"/>
      <c r="AU17" s="78"/>
      <c r="AV17" s="78"/>
      <c r="AW17" s="800"/>
      <c r="AX17" t="s">
        <v>481</v>
      </c>
      <c r="AY17" s="829">
        <f t="shared" si="15"/>
        <v>366035</v>
      </c>
      <c r="AZ17" s="816">
        <v>54221</v>
      </c>
      <c r="BA17" s="816">
        <v>55962</v>
      </c>
      <c r="BB17" s="816">
        <v>63231</v>
      </c>
      <c r="BC17" s="816">
        <v>42999</v>
      </c>
      <c r="BD17" s="816">
        <v>36050</v>
      </c>
      <c r="BE17" s="816">
        <v>53032</v>
      </c>
      <c r="BF17" s="816">
        <v>60540</v>
      </c>
      <c r="BG17" s="816"/>
      <c r="BH17" s="816"/>
      <c r="BI17" s="816"/>
      <c r="BJ17" s="817"/>
      <c r="BK17" s="817"/>
      <c r="BL17" s="800"/>
      <c r="BM17" t="s">
        <v>481</v>
      </c>
      <c r="BN17" s="829">
        <f t="shared" si="16"/>
        <v>155222.93919999999</v>
      </c>
      <c r="BO17" s="816">
        <v>26827.47</v>
      </c>
      <c r="BP17" s="816">
        <v>18925.796399999999</v>
      </c>
      <c r="BQ17" s="816">
        <v>33905.25</v>
      </c>
      <c r="BR17" s="816">
        <v>25067.279999999999</v>
      </c>
      <c r="BS17" s="816">
        <v>25179.19</v>
      </c>
      <c r="BT17" s="816">
        <v>25317.952799999999</v>
      </c>
      <c r="BU17" s="816"/>
      <c r="BV17" s="816"/>
      <c r="BW17" s="816"/>
      <c r="BX17" s="816"/>
      <c r="BY17" s="817"/>
      <c r="BZ17" s="817"/>
      <c r="CA17" s="800"/>
    </row>
    <row r="18" spans="1:79">
      <c r="B18" s="294" t="s">
        <v>478</v>
      </c>
      <c r="C18" s="811">
        <f t="shared" si="12"/>
        <v>4036138.1067881789</v>
      </c>
      <c r="E18" s="294" t="s">
        <v>392</v>
      </c>
      <c r="F18" s="815">
        <f t="shared" si="17"/>
        <v>36871.415000000001</v>
      </c>
      <c r="G18" s="816">
        <v>3408</v>
      </c>
      <c r="H18" s="816">
        <v>3696</v>
      </c>
      <c r="I18" s="816">
        <v>3744</v>
      </c>
      <c r="J18" s="816">
        <v>0</v>
      </c>
      <c r="K18" s="816">
        <v>4020</v>
      </c>
      <c r="L18" s="816">
        <f>4142.4+1006.62</f>
        <v>5149.0199999999995</v>
      </c>
      <c r="M18" s="816">
        <v>0</v>
      </c>
      <c r="N18" s="816">
        <v>4320</v>
      </c>
      <c r="O18" s="816">
        <v>4032</v>
      </c>
      <c r="P18" s="816">
        <v>1763</v>
      </c>
      <c r="Q18" s="817">
        <v>3369.7</v>
      </c>
      <c r="R18" s="817">
        <v>3369.6950000000002</v>
      </c>
      <c r="S18" s="800"/>
      <c r="T18" s="294" t="s">
        <v>392</v>
      </c>
      <c r="U18" s="842">
        <f t="shared" si="13"/>
        <v>17784</v>
      </c>
      <c r="V18" s="843"/>
      <c r="W18" s="843">
        <v>3000</v>
      </c>
      <c r="X18" s="843">
        <v>3696</v>
      </c>
      <c r="Y18" s="843">
        <v>3792</v>
      </c>
      <c r="Z18" s="843"/>
      <c r="AA18" s="843">
        <v>3936</v>
      </c>
      <c r="AB18" s="843">
        <v>3360</v>
      </c>
      <c r="AC18" s="843"/>
      <c r="AD18" s="843"/>
      <c r="AE18" s="843"/>
      <c r="AF18" s="834"/>
      <c r="AG18" s="834"/>
      <c r="AH18" s="800"/>
      <c r="AI18" s="308" t="s">
        <v>393</v>
      </c>
      <c r="AJ18" s="823">
        <f t="shared" si="14"/>
        <v>20296.649679999999</v>
      </c>
      <c r="AK18" s="824"/>
      <c r="AL18" s="824">
        <v>6330</v>
      </c>
      <c r="AM18" s="824">
        <v>3471.5</v>
      </c>
      <c r="AN18" s="824">
        <v>246.5</v>
      </c>
      <c r="AO18" s="824">
        <v>6780</v>
      </c>
      <c r="AP18" s="824">
        <v>2280</v>
      </c>
      <c r="AQ18" s="824">
        <v>1188.6496799999998</v>
      </c>
      <c r="AR18" s="824"/>
      <c r="AS18" s="824"/>
      <c r="AT18" s="824"/>
      <c r="AU18" s="78"/>
      <c r="AV18" s="78"/>
      <c r="AW18" s="800"/>
      <c r="AX18" s="294" t="s">
        <v>478</v>
      </c>
      <c r="AY18" s="829">
        <f t="shared" si="15"/>
        <v>1280809.3388380955</v>
      </c>
      <c r="AZ18" s="816">
        <v>122439.00598095238</v>
      </c>
      <c r="BA18" s="816">
        <f>57410.35</f>
        <v>57410.35</v>
      </c>
      <c r="BB18" s="816">
        <f>111116.81+238563.72</f>
        <v>349680.53</v>
      </c>
      <c r="BC18" s="816">
        <f>37038.94+291047.74</f>
        <v>328086.68</v>
      </c>
      <c r="BD18" s="816">
        <f>37038.94+219478.62</f>
        <v>256517.56</v>
      </c>
      <c r="BE18" s="816">
        <f>111116.81</f>
        <v>111116.81</v>
      </c>
      <c r="BF18" s="816">
        <v>55558.402857142864</v>
      </c>
      <c r="BG18" s="816"/>
      <c r="BH18" s="816"/>
      <c r="BI18" s="816"/>
      <c r="BJ18" s="817"/>
      <c r="BK18" s="817"/>
      <c r="BL18" s="800"/>
      <c r="BM18" s="294" t="s">
        <v>478</v>
      </c>
      <c r="BN18" s="829">
        <f t="shared" si="16"/>
        <v>2717248.1182700833</v>
      </c>
      <c r="BO18" s="832">
        <v>228685.448270083</v>
      </c>
      <c r="BP18" s="832">
        <f>365896.72+108854.15</f>
        <v>474750.87</v>
      </c>
      <c r="BQ18" s="832">
        <f>503107.99+181423.59</f>
        <v>684531.58</v>
      </c>
      <c r="BR18" s="832">
        <f>411633.81+145138.87</f>
        <v>556772.67999999993</v>
      </c>
      <c r="BS18" s="832">
        <f>320159.63+13881.75</f>
        <v>334041.38</v>
      </c>
      <c r="BT18" s="832">
        <f>365896.72+72569.44</f>
        <v>438466.16</v>
      </c>
      <c r="BU18" s="816"/>
      <c r="BV18" s="816"/>
      <c r="BW18" s="816"/>
      <c r="BX18" s="816"/>
      <c r="BY18" s="817"/>
      <c r="BZ18" s="817"/>
      <c r="CA18" s="800"/>
    </row>
    <row r="19" spans="1:79">
      <c r="A19" s="295"/>
      <c r="B19" s="294" t="s">
        <v>394</v>
      </c>
      <c r="C19" s="811">
        <f t="shared" si="12"/>
        <v>13443</v>
      </c>
      <c r="D19" s="792"/>
      <c r="E19" s="294" t="s">
        <v>394</v>
      </c>
      <c r="F19" s="815">
        <f t="shared" si="17"/>
        <v>0</v>
      </c>
      <c r="G19" s="816">
        <v>0</v>
      </c>
      <c r="H19" s="816"/>
      <c r="I19" s="816"/>
      <c r="J19" s="816"/>
      <c r="K19" s="816"/>
      <c r="L19" s="817"/>
      <c r="M19" s="817"/>
      <c r="N19" s="817"/>
      <c r="O19" s="817"/>
      <c r="P19" s="816"/>
      <c r="Q19" s="819"/>
      <c r="R19" s="816"/>
      <c r="S19" s="801"/>
      <c r="T19" s="294" t="s">
        <v>394</v>
      </c>
      <c r="U19" s="842">
        <f t="shared" si="13"/>
        <v>0</v>
      </c>
      <c r="V19" s="843"/>
      <c r="W19" s="843"/>
      <c r="X19" s="843"/>
      <c r="Y19" s="843"/>
      <c r="Z19" s="843"/>
      <c r="AA19" s="834"/>
      <c r="AB19" s="834">
        <v>0</v>
      </c>
      <c r="AC19" s="834"/>
      <c r="AD19" s="834"/>
      <c r="AE19" s="843"/>
      <c r="AF19" s="847"/>
      <c r="AG19" s="843"/>
      <c r="AH19" s="801"/>
      <c r="AI19" s="294" t="s">
        <v>394</v>
      </c>
      <c r="AJ19" s="823">
        <f t="shared" si="14"/>
        <v>0</v>
      </c>
      <c r="AK19" s="824"/>
      <c r="AL19" s="824"/>
      <c r="AM19" s="824"/>
      <c r="AN19" s="824"/>
      <c r="AO19" s="824"/>
      <c r="AP19" s="78"/>
      <c r="AQ19" s="78"/>
      <c r="AR19" s="78"/>
      <c r="AS19" s="78"/>
      <c r="AT19" s="824"/>
      <c r="AU19" s="826"/>
      <c r="AV19" s="824"/>
      <c r="AW19" s="801"/>
      <c r="AX19" s="294" t="s">
        <v>394</v>
      </c>
      <c r="AY19" s="829">
        <f t="shared" si="15"/>
        <v>13443</v>
      </c>
      <c r="AZ19" s="816">
        <v>2080</v>
      </c>
      <c r="BA19" s="816">
        <v>2218</v>
      </c>
      <c r="BB19" s="816">
        <v>2309</v>
      </c>
      <c r="BC19" s="816"/>
      <c r="BD19" s="816">
        <v>2466</v>
      </c>
      <c r="BE19" s="816">
        <v>2290</v>
      </c>
      <c r="BF19" s="816">
        <v>2080</v>
      </c>
      <c r="BG19" s="817"/>
      <c r="BH19" s="817"/>
      <c r="BI19" s="816"/>
      <c r="BJ19" s="819"/>
      <c r="BK19" s="816"/>
      <c r="BL19" s="801"/>
      <c r="BM19" s="294" t="s">
        <v>394</v>
      </c>
      <c r="BN19" s="829">
        <f t="shared" si="16"/>
        <v>0</v>
      </c>
      <c r="BO19" s="816"/>
      <c r="BP19" s="816"/>
      <c r="BQ19" s="816"/>
      <c r="BR19" s="816"/>
      <c r="BS19" s="816"/>
      <c r="BT19" s="817"/>
      <c r="BU19" s="817"/>
      <c r="BV19" s="817"/>
      <c r="BW19" s="817"/>
      <c r="BX19" s="816"/>
      <c r="BY19" s="819"/>
      <c r="BZ19" s="816"/>
      <c r="CA19" s="801"/>
    </row>
    <row r="20" spans="1:79">
      <c r="A20" s="295"/>
      <c r="B20" s="294" t="s">
        <v>395</v>
      </c>
      <c r="C20" s="811">
        <f t="shared" si="12"/>
        <v>221456.24157000001</v>
      </c>
      <c r="E20" s="294" t="s">
        <v>395</v>
      </c>
      <c r="F20" s="815">
        <f t="shared" si="17"/>
        <v>104139.90999999999</v>
      </c>
      <c r="G20" s="816">
        <v>11773.710000000001</v>
      </c>
      <c r="H20" s="816">
        <v>10432.700000000001</v>
      </c>
      <c r="I20" s="816">
        <v>10758.27</v>
      </c>
      <c r="J20" s="816">
        <v>9180.91</v>
      </c>
      <c r="K20" s="816">
        <v>8684.49</v>
      </c>
      <c r="L20" s="816">
        <v>9746.99</v>
      </c>
      <c r="M20" s="816">
        <v>10218.68</v>
      </c>
      <c r="N20" s="816">
        <v>11230.869999999999</v>
      </c>
      <c r="O20" s="816">
        <v>7301.2299999999987</v>
      </c>
      <c r="P20" s="816">
        <v>5893.2</v>
      </c>
      <c r="Q20" s="819">
        <v>4122.24</v>
      </c>
      <c r="R20" s="816">
        <v>4796.62</v>
      </c>
      <c r="S20" s="800"/>
      <c r="T20" s="294" t="s">
        <v>395</v>
      </c>
      <c r="U20" s="842">
        <f t="shared" si="13"/>
        <v>45420.783989999996</v>
      </c>
      <c r="V20" s="843">
        <v>7580.13</v>
      </c>
      <c r="W20" s="843">
        <v>5493.9053799999992</v>
      </c>
      <c r="X20" s="843">
        <v>6014.6186100000004</v>
      </c>
      <c r="Y20" s="843">
        <v>6364.47</v>
      </c>
      <c r="Z20" s="843">
        <v>6086.93</v>
      </c>
      <c r="AA20" s="843">
        <v>8042.7500000000009</v>
      </c>
      <c r="AB20" s="843">
        <v>5837.98</v>
      </c>
      <c r="AC20" s="843"/>
      <c r="AD20" s="843"/>
      <c r="AE20" s="843"/>
      <c r="AF20" s="847"/>
      <c r="AG20" s="843"/>
      <c r="AH20" s="800"/>
      <c r="AI20" s="1026" t="s">
        <v>395</v>
      </c>
      <c r="AJ20" s="823">
        <f t="shared" si="14"/>
        <v>64317.239109999995</v>
      </c>
      <c r="AK20" s="824">
        <v>8770.4</v>
      </c>
      <c r="AL20" s="824">
        <v>8543.9737000000005</v>
      </c>
      <c r="AM20" s="824">
        <v>10773.115409999999</v>
      </c>
      <c r="AN20" s="824">
        <v>8286.5099999999984</v>
      </c>
      <c r="AO20" s="824">
        <v>7820.8399999999992</v>
      </c>
      <c r="AP20" s="824">
        <v>8475.68</v>
      </c>
      <c r="AQ20" s="824">
        <v>11646.72</v>
      </c>
      <c r="AR20" s="824"/>
      <c r="AS20" s="824"/>
      <c r="AT20" s="824"/>
      <c r="AU20" s="826"/>
      <c r="AV20" s="824"/>
      <c r="AW20" s="800"/>
      <c r="AX20" s="294" t="s">
        <v>395</v>
      </c>
      <c r="AY20" s="829">
        <f t="shared" si="15"/>
        <v>56044.116500000004</v>
      </c>
      <c r="AZ20" s="816">
        <v>4854.4465</v>
      </c>
      <c r="BA20" s="816">
        <v>6688.05</v>
      </c>
      <c r="BB20" s="816">
        <v>5917.2</v>
      </c>
      <c r="BC20" s="816">
        <v>8308</v>
      </c>
      <c r="BD20" s="816">
        <v>16162.92</v>
      </c>
      <c r="BE20" s="816">
        <v>6162.7</v>
      </c>
      <c r="BF20" s="816">
        <v>7950.7999999999993</v>
      </c>
      <c r="BG20" s="816"/>
      <c r="BH20" s="816"/>
      <c r="BI20" s="816"/>
      <c r="BJ20" s="819"/>
      <c r="BK20" s="816"/>
      <c r="BL20" s="800"/>
      <c r="BM20" s="294" t="s">
        <v>395</v>
      </c>
      <c r="BN20" s="829">
        <f t="shared" si="16"/>
        <v>55674.101970000003</v>
      </c>
      <c r="BO20" s="816">
        <v>13369.59</v>
      </c>
      <c r="BP20" s="816">
        <v>6165.0199999999995</v>
      </c>
      <c r="BQ20" s="816">
        <v>9492.90697</v>
      </c>
      <c r="BR20" s="816">
        <v>11884.084999999999</v>
      </c>
      <c r="BS20" s="816">
        <v>9019.36</v>
      </c>
      <c r="BT20" s="816">
        <v>5743.14</v>
      </c>
      <c r="BU20" s="816"/>
      <c r="BV20" s="816"/>
      <c r="BW20" s="816"/>
      <c r="BX20" s="816"/>
      <c r="BY20" s="819"/>
      <c r="BZ20" s="816"/>
      <c r="CA20" s="800"/>
    </row>
    <row r="21" spans="1:79">
      <c r="B21" s="294" t="s">
        <v>396</v>
      </c>
      <c r="C21" s="811">
        <f t="shared" si="12"/>
        <v>79732.000000000015</v>
      </c>
      <c r="E21" s="294" t="s">
        <v>396</v>
      </c>
      <c r="F21" s="815">
        <f t="shared" si="17"/>
        <v>458</v>
      </c>
      <c r="G21" s="816">
        <v>0</v>
      </c>
      <c r="H21" s="816">
        <v>458</v>
      </c>
      <c r="I21" s="816"/>
      <c r="J21" s="816"/>
      <c r="K21" s="816"/>
      <c r="L21" s="816"/>
      <c r="M21" s="816"/>
      <c r="N21" s="816"/>
      <c r="O21" s="816"/>
      <c r="P21" s="816"/>
      <c r="Q21" s="816"/>
      <c r="R21" s="816"/>
      <c r="S21" s="800"/>
      <c r="T21" s="294" t="s">
        <v>396</v>
      </c>
      <c r="U21" s="842">
        <f t="shared" si="13"/>
        <v>0</v>
      </c>
      <c r="V21" s="843"/>
      <c r="W21" s="843"/>
      <c r="X21" s="843"/>
      <c r="Y21" s="843"/>
      <c r="Z21" s="843"/>
      <c r="AA21" s="843"/>
      <c r="AB21" s="843">
        <v>0</v>
      </c>
      <c r="AC21" s="843"/>
      <c r="AD21" s="843"/>
      <c r="AE21" s="843"/>
      <c r="AF21" s="843"/>
      <c r="AG21" s="843"/>
      <c r="AH21" s="800"/>
      <c r="AI21" s="294" t="s">
        <v>396</v>
      </c>
      <c r="AJ21" s="823">
        <f t="shared" si="14"/>
        <v>1239.8</v>
      </c>
      <c r="AK21" s="824"/>
      <c r="AL21" s="824"/>
      <c r="AM21" s="824"/>
      <c r="AN21" s="824"/>
      <c r="AO21" s="824"/>
      <c r="AP21" s="824"/>
      <c r="AQ21" s="824">
        <v>1239.8</v>
      </c>
      <c r="AR21" s="824"/>
      <c r="AS21" s="824"/>
      <c r="AT21" s="824"/>
      <c r="AU21" s="824"/>
      <c r="AV21" s="824"/>
      <c r="AW21" s="800"/>
      <c r="AX21" s="294" t="s">
        <v>396</v>
      </c>
      <c r="AY21" s="829">
        <f t="shared" si="15"/>
        <v>78492.200000000012</v>
      </c>
      <c r="AZ21" s="811">
        <v>2848.05</v>
      </c>
      <c r="BA21" s="811">
        <v>21163.65</v>
      </c>
      <c r="BB21" s="811">
        <v>19894.269999999997</v>
      </c>
      <c r="BC21" s="811">
        <v>13034.51</v>
      </c>
      <c r="BD21" s="816"/>
      <c r="BE21" s="816">
        <v>21551.72</v>
      </c>
      <c r="BF21" s="816"/>
      <c r="BG21" s="816"/>
      <c r="BH21" s="816"/>
      <c r="BI21" s="816"/>
      <c r="BJ21" s="816"/>
      <c r="BK21" s="816"/>
      <c r="BL21" s="800"/>
      <c r="BM21" s="294" t="s">
        <v>396</v>
      </c>
      <c r="BN21" s="829">
        <f t="shared" si="16"/>
        <v>0</v>
      </c>
      <c r="BO21" s="816"/>
      <c r="BP21" s="816"/>
      <c r="BQ21" s="816"/>
      <c r="BR21" s="816"/>
      <c r="BS21" s="816"/>
      <c r="BT21" s="816"/>
      <c r="BU21" s="816"/>
      <c r="BV21" s="816"/>
      <c r="BW21" s="816"/>
      <c r="BX21" s="816"/>
      <c r="BY21" s="816"/>
      <c r="BZ21" s="816"/>
      <c r="CA21" s="800"/>
    </row>
    <row r="22" spans="1:79">
      <c r="B22" s="294" t="s">
        <v>195</v>
      </c>
      <c r="C22" s="812">
        <f>SUM(C15:C21)</f>
        <v>5574170.6141581787</v>
      </c>
      <c r="E22" s="294" t="s">
        <v>195</v>
      </c>
      <c r="F22" s="820">
        <f>SUM(F15:F21)</f>
        <v>1307811.1095999999</v>
      </c>
      <c r="G22" s="817">
        <f>SUM(G15:G21)</f>
        <v>126764.31940000001</v>
      </c>
      <c r="H22" s="817">
        <f t="shared" ref="H22:P22" si="18">SUM(H15:H21)</f>
        <v>90155.895200000014</v>
      </c>
      <c r="I22" s="817">
        <f>SUM(I15:I21)</f>
        <v>130364.97480000001</v>
      </c>
      <c r="J22" s="817">
        <f t="shared" si="18"/>
        <v>95687.07</v>
      </c>
      <c r="K22" s="817">
        <f t="shared" si="18"/>
        <v>106282.5664</v>
      </c>
      <c r="L22" s="817">
        <f t="shared" si="18"/>
        <v>143574.37899999999</v>
      </c>
      <c r="M22" s="817">
        <f t="shared" si="18"/>
        <v>110374.61880000003</v>
      </c>
      <c r="N22" s="817">
        <f t="shared" si="18"/>
        <v>122824.28</v>
      </c>
      <c r="O22" s="817">
        <f t="shared" si="18"/>
        <v>91383.12000000001</v>
      </c>
      <c r="P22" s="817">
        <f t="shared" si="18"/>
        <v>100267.641</v>
      </c>
      <c r="Q22" s="817">
        <v>28243.46</v>
      </c>
      <c r="R22" s="817">
        <v>68015.485000000001</v>
      </c>
      <c r="S22" s="800"/>
      <c r="T22" s="294" t="s">
        <v>195</v>
      </c>
      <c r="U22" s="833">
        <f>SUM(U15:U21)</f>
        <v>521773.48059000005</v>
      </c>
      <c r="V22" s="834">
        <f>SUM(V15:V21)</f>
        <v>73105.820000000007</v>
      </c>
      <c r="W22" s="834">
        <f>SUM(W15:W21)</f>
        <v>67890.397580000004</v>
      </c>
      <c r="X22" s="834">
        <f>SUM(X15:X21)</f>
        <v>80169.638610000009</v>
      </c>
      <c r="Y22" s="834">
        <f t="shared" ref="Y22:AG22" si="19">SUM(Y15:Y21)</f>
        <v>76863.86</v>
      </c>
      <c r="Z22" s="834">
        <f t="shared" si="19"/>
        <v>70636.69</v>
      </c>
      <c r="AA22" s="834">
        <f t="shared" si="19"/>
        <v>74236.454400000002</v>
      </c>
      <c r="AB22" s="834">
        <f t="shared" si="19"/>
        <v>65125.34</v>
      </c>
      <c r="AC22" s="834">
        <f t="shared" si="19"/>
        <v>6329.38</v>
      </c>
      <c r="AD22" s="834">
        <f t="shared" si="19"/>
        <v>0</v>
      </c>
      <c r="AE22" s="834">
        <f t="shared" si="19"/>
        <v>0</v>
      </c>
      <c r="AF22" s="834">
        <f t="shared" si="19"/>
        <v>5698.9</v>
      </c>
      <c r="AG22" s="834">
        <f t="shared" si="19"/>
        <v>1717</v>
      </c>
      <c r="AH22" s="800"/>
      <c r="AI22" s="294" t="s">
        <v>195</v>
      </c>
      <c r="AJ22" s="827">
        <f>SUM(AJ15:AJ21)</f>
        <v>287946.54878999997</v>
      </c>
      <c r="AK22" s="78">
        <f>SUM(AK15:AK21)</f>
        <v>33570.400000000001</v>
      </c>
      <c r="AL22" s="78">
        <f>SUM(AL15:AL21)</f>
        <v>39753.973700000002</v>
      </c>
      <c r="AM22" s="78">
        <f>SUM(AM15:AM21)</f>
        <v>49215.415410000001</v>
      </c>
      <c r="AN22" s="78">
        <f>SUM(AN15:AN21)</f>
        <v>35061.929999999993</v>
      </c>
      <c r="AO22" s="78">
        <f t="shared" ref="AO22:AV22" si="20">SUM(AO15:AO21)</f>
        <v>42200.84</v>
      </c>
      <c r="AP22" s="78">
        <f t="shared" si="20"/>
        <v>38355.68</v>
      </c>
      <c r="AQ22" s="78">
        <f t="shared" si="20"/>
        <v>48275.169680000006</v>
      </c>
      <c r="AR22" s="78">
        <f t="shared" si="20"/>
        <v>0</v>
      </c>
      <c r="AS22" s="78">
        <f t="shared" si="20"/>
        <v>0</v>
      </c>
      <c r="AT22" s="78">
        <f t="shared" si="20"/>
        <v>86.4</v>
      </c>
      <c r="AU22" s="78">
        <f t="shared" si="20"/>
        <v>301.14</v>
      </c>
      <c r="AV22" s="78">
        <f t="shared" si="20"/>
        <v>1125.5999999999999</v>
      </c>
      <c r="AW22" s="800"/>
      <c r="AX22" s="294" t="s">
        <v>195</v>
      </c>
      <c r="AY22" s="830">
        <f>SUM(AY15:AY21)</f>
        <v>1823659.2753380954</v>
      </c>
      <c r="AZ22" s="817">
        <f>SUM(AZ15:AZ21)</f>
        <v>188522.50248095236</v>
      </c>
      <c r="BA22" s="817">
        <f>SUM(BA15:BA21)</f>
        <v>148108.42000000001</v>
      </c>
      <c r="BB22" s="817">
        <f>SUM(BB15:BB21)</f>
        <v>443341.00000000006</v>
      </c>
      <c r="BC22" s="817">
        <f t="shared" ref="BC22:BK22" si="21">SUM(BC15:BC21)</f>
        <v>393868.44</v>
      </c>
      <c r="BD22" s="817">
        <f t="shared" si="21"/>
        <v>313662.48</v>
      </c>
      <c r="BE22" s="817">
        <f t="shared" si="21"/>
        <v>196443.23</v>
      </c>
      <c r="BF22" s="817">
        <f t="shared" si="21"/>
        <v>128209.20285714287</v>
      </c>
      <c r="BG22" s="817">
        <f t="shared" si="21"/>
        <v>2346</v>
      </c>
      <c r="BH22" s="817">
        <f t="shared" si="21"/>
        <v>2333.4</v>
      </c>
      <c r="BI22" s="817">
        <f t="shared" si="21"/>
        <v>2360</v>
      </c>
      <c r="BJ22" s="817">
        <f t="shared" si="21"/>
        <v>2424.6</v>
      </c>
      <c r="BK22" s="817">
        <f t="shared" si="21"/>
        <v>2040</v>
      </c>
      <c r="BL22" s="800"/>
      <c r="BM22" s="294" t="s">
        <v>195</v>
      </c>
      <c r="BN22" s="830">
        <f>SUM(BN15:BN21)</f>
        <v>2940791.3094400833</v>
      </c>
      <c r="BO22" s="817">
        <f>SUM(BO15:BO21)</f>
        <v>271290.78827008302</v>
      </c>
      <c r="BP22" s="817">
        <f>SUM(BP15:BP21)</f>
        <v>500095.70640000002</v>
      </c>
      <c r="BQ22" s="817">
        <f>SUM(BQ15:BQ21)</f>
        <v>734281.80696999992</v>
      </c>
      <c r="BR22" s="817">
        <f t="shared" ref="BR22:BZ22" si="22">SUM(BR15:BR21)</f>
        <v>595221.44499999995</v>
      </c>
      <c r="BS22" s="817">
        <f t="shared" si="22"/>
        <v>368239.93</v>
      </c>
      <c r="BT22" s="817">
        <f t="shared" si="22"/>
        <v>471415.13279999996</v>
      </c>
      <c r="BU22" s="817">
        <f t="shared" si="22"/>
        <v>0</v>
      </c>
      <c r="BV22" s="817">
        <f t="shared" si="22"/>
        <v>0</v>
      </c>
      <c r="BW22" s="817">
        <f t="shared" si="22"/>
        <v>0</v>
      </c>
      <c r="BX22" s="817">
        <f t="shared" si="22"/>
        <v>0</v>
      </c>
      <c r="BY22" s="817">
        <f t="shared" si="22"/>
        <v>246.5</v>
      </c>
      <c r="BZ22" s="817">
        <f t="shared" si="22"/>
        <v>0</v>
      </c>
      <c r="CA22" s="800"/>
    </row>
    <row r="23" spans="1:79">
      <c r="C23" s="812"/>
      <c r="F23" s="812"/>
      <c r="G23" s="817"/>
      <c r="H23" s="817"/>
      <c r="I23" s="817"/>
      <c r="J23" s="817"/>
      <c r="K23" s="817"/>
      <c r="L23" s="817"/>
      <c r="M23" s="817"/>
      <c r="N23" s="817"/>
      <c r="O23" s="817"/>
      <c r="P23" s="817"/>
      <c r="Q23" s="817"/>
      <c r="R23" s="817"/>
      <c r="S23" s="800"/>
      <c r="U23" s="845"/>
      <c r="V23" s="834"/>
      <c r="W23" s="834"/>
      <c r="X23" s="834"/>
      <c r="Y23" s="834"/>
      <c r="Z23" s="834"/>
      <c r="AA23" s="834"/>
      <c r="AB23" s="834"/>
      <c r="AC23" s="834"/>
      <c r="AD23" s="834"/>
      <c r="AE23" s="834"/>
      <c r="AF23" s="834"/>
      <c r="AG23" s="834"/>
      <c r="AH23" s="800"/>
      <c r="AJ23" s="825"/>
      <c r="AK23" s="78"/>
      <c r="AL23" s="78"/>
      <c r="AM23" s="78"/>
      <c r="AN23" s="78"/>
      <c r="AO23" s="78"/>
      <c r="AP23" s="78"/>
      <c r="AQ23" s="78"/>
      <c r="AR23" s="78"/>
      <c r="AS23" s="78"/>
      <c r="AT23" s="78"/>
      <c r="AU23" s="78"/>
      <c r="AV23" s="78"/>
      <c r="AW23" s="800"/>
      <c r="AY23" s="812"/>
      <c r="AZ23" s="817"/>
      <c r="BA23" s="817"/>
      <c r="BB23" s="817"/>
      <c r="BC23" s="817"/>
      <c r="BD23" s="817"/>
      <c r="BE23" s="817"/>
      <c r="BF23" s="817"/>
      <c r="BG23" s="817"/>
      <c r="BH23" s="817"/>
      <c r="BI23" s="817"/>
      <c r="BJ23" s="817"/>
      <c r="BK23" s="817"/>
      <c r="BL23" s="800"/>
      <c r="BN23" s="812"/>
      <c r="BO23" s="817"/>
      <c r="BP23" s="817"/>
      <c r="BQ23" s="817"/>
      <c r="BR23" s="817"/>
      <c r="BS23" s="817"/>
      <c r="BT23" s="817"/>
      <c r="BU23" s="817"/>
      <c r="BV23" s="817"/>
      <c r="BW23" s="817"/>
      <c r="BX23" s="817"/>
      <c r="BY23" s="817"/>
      <c r="BZ23" s="817"/>
      <c r="CA23" s="800"/>
    </row>
    <row r="24" spans="1:79" ht="15.75" thickBot="1">
      <c r="B24" s="296" t="s">
        <v>397</v>
      </c>
      <c r="C24" s="814">
        <f>+C22</f>
        <v>5574170.6141581787</v>
      </c>
      <c r="E24" s="296" t="s">
        <v>397</v>
      </c>
      <c r="F24" s="821">
        <f>+F22</f>
        <v>1307811.1095999999</v>
      </c>
      <c r="G24" s="822">
        <f>+G22</f>
        <v>126764.31940000001</v>
      </c>
      <c r="H24" s="822">
        <f t="shared" ref="H24:R24" si="23">+H22</f>
        <v>90155.895200000014</v>
      </c>
      <c r="I24" s="822">
        <f t="shared" si="23"/>
        <v>130364.97480000001</v>
      </c>
      <c r="J24" s="822">
        <f t="shared" si="23"/>
        <v>95687.07</v>
      </c>
      <c r="K24" s="822">
        <f t="shared" si="23"/>
        <v>106282.5664</v>
      </c>
      <c r="L24" s="822">
        <f t="shared" si="23"/>
        <v>143574.37899999999</v>
      </c>
      <c r="M24" s="822">
        <f>+M22</f>
        <v>110374.61880000003</v>
      </c>
      <c r="N24" s="822">
        <f t="shared" si="23"/>
        <v>122824.28</v>
      </c>
      <c r="O24" s="822">
        <f>+O22</f>
        <v>91383.12000000001</v>
      </c>
      <c r="P24" s="822">
        <f>+P22</f>
        <v>100267.641</v>
      </c>
      <c r="Q24" s="822">
        <f t="shared" si="23"/>
        <v>28243.46</v>
      </c>
      <c r="R24" s="822">
        <f t="shared" si="23"/>
        <v>68015.485000000001</v>
      </c>
      <c r="S24" s="800"/>
      <c r="T24" s="296" t="s">
        <v>397</v>
      </c>
      <c r="U24" s="835">
        <f t="shared" ref="U24:AG24" si="24">+U22</f>
        <v>521773.48059000005</v>
      </c>
      <c r="V24" s="837">
        <f t="shared" si="24"/>
        <v>73105.820000000007</v>
      </c>
      <c r="W24" s="837">
        <f t="shared" si="24"/>
        <v>67890.397580000004</v>
      </c>
      <c r="X24" s="837">
        <f t="shared" si="24"/>
        <v>80169.638610000009</v>
      </c>
      <c r="Y24" s="837">
        <f t="shared" si="24"/>
        <v>76863.86</v>
      </c>
      <c r="Z24" s="837">
        <f t="shared" si="24"/>
        <v>70636.69</v>
      </c>
      <c r="AA24" s="837">
        <f t="shared" si="24"/>
        <v>74236.454400000002</v>
      </c>
      <c r="AB24" s="837">
        <f t="shared" si="24"/>
        <v>65125.34</v>
      </c>
      <c r="AC24" s="837">
        <f t="shared" si="24"/>
        <v>6329.38</v>
      </c>
      <c r="AD24" s="837">
        <f t="shared" si="24"/>
        <v>0</v>
      </c>
      <c r="AE24" s="837">
        <f t="shared" si="24"/>
        <v>0</v>
      </c>
      <c r="AF24" s="837">
        <f t="shared" si="24"/>
        <v>5698.9</v>
      </c>
      <c r="AG24" s="837">
        <f t="shared" si="24"/>
        <v>1717</v>
      </c>
      <c r="AH24" s="800"/>
      <c r="AI24" s="296" t="s">
        <v>397</v>
      </c>
      <c r="AJ24" s="806">
        <f>+AJ22</f>
        <v>287946.54878999997</v>
      </c>
      <c r="AK24" s="828">
        <f t="shared" ref="AK24:AV24" si="25">+AK22</f>
        <v>33570.400000000001</v>
      </c>
      <c r="AL24" s="828">
        <f t="shared" si="25"/>
        <v>39753.973700000002</v>
      </c>
      <c r="AM24" s="828">
        <f t="shared" si="25"/>
        <v>49215.415410000001</v>
      </c>
      <c r="AN24" s="828">
        <f t="shared" si="25"/>
        <v>35061.929999999993</v>
      </c>
      <c r="AO24" s="828">
        <f t="shared" si="25"/>
        <v>42200.84</v>
      </c>
      <c r="AP24" s="828">
        <f t="shared" si="25"/>
        <v>38355.68</v>
      </c>
      <c r="AQ24" s="828">
        <f t="shared" si="25"/>
        <v>48275.169680000006</v>
      </c>
      <c r="AR24" s="828">
        <f t="shared" si="25"/>
        <v>0</v>
      </c>
      <c r="AS24" s="828">
        <f t="shared" si="25"/>
        <v>0</v>
      </c>
      <c r="AT24" s="828">
        <f t="shared" si="25"/>
        <v>86.4</v>
      </c>
      <c r="AU24" s="828">
        <f t="shared" si="25"/>
        <v>301.14</v>
      </c>
      <c r="AV24" s="828">
        <f t="shared" si="25"/>
        <v>1125.5999999999999</v>
      </c>
      <c r="AW24" s="800"/>
      <c r="AX24" s="296" t="s">
        <v>397</v>
      </c>
      <c r="AY24" s="831">
        <f t="shared" ref="AY24:BK24" si="26">+AY22</f>
        <v>1823659.2753380954</v>
      </c>
      <c r="AZ24" s="822">
        <f t="shared" si="26"/>
        <v>188522.50248095236</v>
      </c>
      <c r="BA24" s="822">
        <f t="shared" si="26"/>
        <v>148108.42000000001</v>
      </c>
      <c r="BB24" s="822">
        <f t="shared" si="26"/>
        <v>443341.00000000006</v>
      </c>
      <c r="BC24" s="822">
        <f t="shared" si="26"/>
        <v>393868.44</v>
      </c>
      <c r="BD24" s="822">
        <f t="shared" si="26"/>
        <v>313662.48</v>
      </c>
      <c r="BE24" s="822">
        <f t="shared" si="26"/>
        <v>196443.23</v>
      </c>
      <c r="BF24" s="822">
        <f t="shared" si="26"/>
        <v>128209.20285714287</v>
      </c>
      <c r="BG24" s="822">
        <f t="shared" si="26"/>
        <v>2346</v>
      </c>
      <c r="BH24" s="822">
        <f t="shared" si="26"/>
        <v>2333.4</v>
      </c>
      <c r="BI24" s="822">
        <f t="shared" si="26"/>
        <v>2360</v>
      </c>
      <c r="BJ24" s="822">
        <f t="shared" si="26"/>
        <v>2424.6</v>
      </c>
      <c r="BK24" s="822">
        <f t="shared" si="26"/>
        <v>2040</v>
      </c>
      <c r="BL24" s="800"/>
      <c r="BM24" s="296" t="s">
        <v>397</v>
      </c>
      <c r="BN24" s="831">
        <f t="shared" ref="BN24:BZ24" si="27">+BN22</f>
        <v>2940791.3094400833</v>
      </c>
      <c r="BO24" s="822">
        <f t="shared" si="27"/>
        <v>271290.78827008302</v>
      </c>
      <c r="BP24" s="822">
        <f t="shared" si="27"/>
        <v>500095.70640000002</v>
      </c>
      <c r="BQ24" s="822">
        <f t="shared" si="27"/>
        <v>734281.80696999992</v>
      </c>
      <c r="BR24" s="822">
        <f t="shared" si="27"/>
        <v>595221.44499999995</v>
      </c>
      <c r="BS24" s="822">
        <f t="shared" si="27"/>
        <v>368239.93</v>
      </c>
      <c r="BT24" s="822">
        <f t="shared" si="27"/>
        <v>471415.13279999996</v>
      </c>
      <c r="BU24" s="822">
        <f t="shared" si="27"/>
        <v>0</v>
      </c>
      <c r="BV24" s="822">
        <f t="shared" si="27"/>
        <v>0</v>
      </c>
      <c r="BW24" s="822">
        <f t="shared" si="27"/>
        <v>0</v>
      </c>
      <c r="BX24" s="822">
        <f t="shared" si="27"/>
        <v>0</v>
      </c>
      <c r="BY24" s="822">
        <f t="shared" si="27"/>
        <v>246.5</v>
      </c>
      <c r="BZ24" s="822">
        <f t="shared" si="27"/>
        <v>0</v>
      </c>
      <c r="CA24" s="800"/>
    </row>
    <row r="25" spans="1:79" ht="15.75" thickTop="1">
      <c r="C25" s="812"/>
      <c r="F25" s="812"/>
      <c r="G25" s="817"/>
      <c r="H25" s="817"/>
      <c r="I25" s="817"/>
      <c r="J25" s="817"/>
      <c r="K25" s="817"/>
      <c r="L25" s="817"/>
      <c r="M25" s="817"/>
      <c r="N25" s="817"/>
      <c r="O25" s="817"/>
      <c r="P25" s="817"/>
      <c r="Q25" s="817"/>
      <c r="R25" s="817"/>
      <c r="S25" s="800"/>
      <c r="U25" s="845"/>
      <c r="V25" s="834"/>
      <c r="W25" s="834"/>
      <c r="X25" s="834"/>
      <c r="Y25" s="834"/>
      <c r="Z25" s="834"/>
      <c r="AA25" s="834"/>
      <c r="AB25" s="834"/>
      <c r="AC25" s="834"/>
      <c r="AD25" s="834"/>
      <c r="AE25" s="834"/>
      <c r="AF25" s="834"/>
      <c r="AG25" s="834"/>
      <c r="AH25" s="800"/>
      <c r="AJ25" s="825"/>
      <c r="AK25" s="78"/>
      <c r="AL25" s="78"/>
      <c r="AM25" s="78"/>
      <c r="AN25" s="78"/>
      <c r="AO25" s="78"/>
      <c r="AP25" s="78"/>
      <c r="AQ25" s="78"/>
      <c r="AR25" s="78"/>
      <c r="AS25" s="78"/>
      <c r="AT25" s="78"/>
      <c r="AU25" s="78"/>
      <c r="AV25" s="78"/>
      <c r="AW25" s="800"/>
      <c r="AY25" s="812"/>
      <c r="AZ25" s="817"/>
      <c r="BA25" s="817"/>
      <c r="BB25" s="817"/>
      <c r="BC25" s="817"/>
      <c r="BD25" s="817"/>
      <c r="BE25" s="817"/>
      <c r="BF25" s="817"/>
      <c r="BG25" s="817"/>
      <c r="BH25" s="817"/>
      <c r="BI25" s="817"/>
      <c r="BJ25" s="817"/>
      <c r="BK25" s="817"/>
      <c r="BL25" s="800"/>
      <c r="BN25" s="812"/>
      <c r="BO25" s="817"/>
      <c r="BP25" s="817"/>
      <c r="BQ25" s="817"/>
      <c r="BR25" s="817"/>
      <c r="BS25" s="817"/>
      <c r="BT25" s="817"/>
      <c r="BU25" s="817"/>
      <c r="BV25" s="817"/>
      <c r="BW25" s="817"/>
      <c r="BX25" s="817"/>
      <c r="BY25" s="817"/>
      <c r="BZ25" s="817"/>
      <c r="CA25" s="800"/>
    </row>
    <row r="26" spans="1:79">
      <c r="B26" s="197" t="s">
        <v>419</v>
      </c>
      <c r="C26" s="812">
        <f>AVERAGE(U26,AJ26,AY26,BN26)</f>
        <v>21042.5</v>
      </c>
      <c r="E26" s="197" t="s">
        <v>469</v>
      </c>
      <c r="F26" s="820">
        <f>AVERAGE(G26:R26)</f>
        <v>40.625</v>
      </c>
      <c r="G26" s="817">
        <v>40</v>
      </c>
      <c r="H26" s="817">
        <v>40</v>
      </c>
      <c r="I26" s="817">
        <v>40</v>
      </c>
      <c r="J26" s="817">
        <v>40</v>
      </c>
      <c r="K26" s="817">
        <v>40</v>
      </c>
      <c r="L26" s="817">
        <v>40</v>
      </c>
      <c r="M26" s="817">
        <v>40</v>
      </c>
      <c r="N26" s="817">
        <v>40</v>
      </c>
      <c r="O26" s="817">
        <v>41.5</v>
      </c>
      <c r="P26" s="817">
        <v>42</v>
      </c>
      <c r="Q26" s="817">
        <v>42</v>
      </c>
      <c r="R26" s="817">
        <v>42</v>
      </c>
      <c r="S26" s="800"/>
      <c r="T26" s="197" t="s">
        <v>469</v>
      </c>
      <c r="U26" s="833">
        <f>AVERAGE(V26:AG26)</f>
        <v>42000</v>
      </c>
      <c r="V26" s="834">
        <v>42000</v>
      </c>
      <c r="W26" s="834">
        <v>42000</v>
      </c>
      <c r="X26" s="834">
        <v>42000</v>
      </c>
      <c r="Y26" s="834">
        <v>42000</v>
      </c>
      <c r="Z26" s="834">
        <v>42000</v>
      </c>
      <c r="AA26" s="834">
        <v>42000</v>
      </c>
      <c r="AB26" s="834">
        <v>42000</v>
      </c>
      <c r="AC26" s="834"/>
      <c r="AD26" s="834"/>
      <c r="AE26" s="834"/>
      <c r="AF26" s="834"/>
      <c r="AG26" s="834"/>
      <c r="AH26" s="800"/>
      <c r="AI26" s="197" t="s">
        <v>469</v>
      </c>
      <c r="AJ26" s="827">
        <f>AVERAGE(AK26:AV26)</f>
        <v>85</v>
      </c>
      <c r="AK26" s="78">
        <v>85</v>
      </c>
      <c r="AL26" s="78">
        <v>85</v>
      </c>
      <c r="AM26" s="78">
        <v>85</v>
      </c>
      <c r="AN26" s="78">
        <v>85</v>
      </c>
      <c r="AO26" s="78">
        <v>85</v>
      </c>
      <c r="AP26" s="78">
        <v>85</v>
      </c>
      <c r="AQ26" s="78">
        <v>85</v>
      </c>
      <c r="AR26" s="78"/>
      <c r="AS26" s="78"/>
      <c r="AT26" s="78"/>
      <c r="AU26" s="78"/>
      <c r="AV26" s="78"/>
      <c r="AW26" s="800"/>
      <c r="AX26" s="197"/>
      <c r="AY26" s="830"/>
      <c r="AZ26" s="817"/>
      <c r="BA26" s="817"/>
      <c r="BB26" s="817"/>
      <c r="BC26" s="817"/>
      <c r="BD26" s="817"/>
      <c r="BE26" s="817"/>
      <c r="BF26" s="817"/>
      <c r="BG26" s="817"/>
      <c r="BH26" s="817"/>
      <c r="BI26" s="817"/>
      <c r="BJ26" s="817"/>
      <c r="BK26" s="817"/>
      <c r="BL26" s="800"/>
      <c r="BM26" s="197"/>
      <c r="BN26" s="830"/>
      <c r="BO26" s="817"/>
      <c r="BP26" s="817"/>
      <c r="BQ26" s="817"/>
      <c r="BR26" s="817"/>
      <c r="BS26" s="817"/>
      <c r="BT26" s="817"/>
      <c r="BU26" s="817"/>
      <c r="BV26" s="817"/>
      <c r="BW26" s="817"/>
      <c r="BX26" s="817"/>
      <c r="BY26" s="817"/>
      <c r="BZ26" s="817"/>
      <c r="CA26" s="800"/>
    </row>
    <row r="27" spans="1:79">
      <c r="B27" s="197" t="s">
        <v>419</v>
      </c>
      <c r="C27" s="812">
        <f>AVERAGE(U27,AJ27,AY27,BN27)</f>
        <v>12542.5</v>
      </c>
      <c r="E27" s="197" t="s">
        <v>469</v>
      </c>
      <c r="F27" s="820">
        <f>AVERAGE(G27:R27)</f>
        <v>42</v>
      </c>
      <c r="G27" s="817">
        <v>42</v>
      </c>
      <c r="H27" s="817">
        <v>42</v>
      </c>
      <c r="I27" s="817">
        <v>42</v>
      </c>
      <c r="J27" s="817">
        <v>42</v>
      </c>
      <c r="K27" s="817">
        <v>42</v>
      </c>
      <c r="L27" s="817">
        <v>42</v>
      </c>
      <c r="M27" s="817">
        <v>42</v>
      </c>
      <c r="N27" s="817">
        <v>42</v>
      </c>
      <c r="O27" s="817">
        <v>42</v>
      </c>
      <c r="P27" s="817">
        <v>42</v>
      </c>
      <c r="Q27" s="817">
        <v>42</v>
      </c>
      <c r="R27" s="817">
        <v>42</v>
      </c>
      <c r="S27" s="800"/>
      <c r="T27" s="197" t="s">
        <v>469</v>
      </c>
      <c r="U27" s="833">
        <f>AVERAGE(V27:AG27)</f>
        <v>25000</v>
      </c>
      <c r="V27" s="834">
        <v>25000</v>
      </c>
      <c r="W27" s="834">
        <v>25000</v>
      </c>
      <c r="X27" s="834">
        <v>25000</v>
      </c>
      <c r="Y27" s="834">
        <v>25000</v>
      </c>
      <c r="Z27" s="834">
        <v>25000</v>
      </c>
      <c r="AA27" s="834">
        <v>25000</v>
      </c>
      <c r="AB27" s="834">
        <v>25000</v>
      </c>
      <c r="AC27" s="834"/>
      <c r="AD27" s="834"/>
      <c r="AE27" s="834"/>
      <c r="AF27" s="834"/>
      <c r="AG27" s="834"/>
      <c r="AH27" s="800"/>
      <c r="AI27" s="197" t="s">
        <v>469</v>
      </c>
      <c r="AJ27" s="827">
        <f>AVERAGE(AK27:AV27)</f>
        <v>85</v>
      </c>
      <c r="AK27" s="78">
        <v>85</v>
      </c>
      <c r="AL27" s="78">
        <v>85</v>
      </c>
      <c r="AM27" s="78">
        <v>85</v>
      </c>
      <c r="AN27" s="78">
        <v>85</v>
      </c>
      <c r="AO27" s="78">
        <v>85</v>
      </c>
      <c r="AP27" s="78">
        <v>85</v>
      </c>
      <c r="AQ27" s="78">
        <v>85</v>
      </c>
      <c r="AR27" s="78"/>
      <c r="AS27" s="78"/>
      <c r="AT27" s="78"/>
      <c r="AU27" s="78"/>
      <c r="AV27" s="78"/>
      <c r="AW27" s="800"/>
      <c r="AX27" s="197" t="s">
        <v>419</v>
      </c>
      <c r="AY27" s="830"/>
      <c r="AZ27" s="817"/>
      <c r="BA27" s="817"/>
      <c r="BB27" s="817"/>
      <c r="BC27" s="817"/>
      <c r="BD27" s="817"/>
      <c r="BE27" s="817"/>
      <c r="BF27" s="817"/>
      <c r="BG27" s="817"/>
      <c r="BH27" s="817"/>
      <c r="BI27" s="817"/>
      <c r="BJ27" s="817"/>
      <c r="BK27" s="817"/>
      <c r="BL27" s="800"/>
      <c r="BM27" s="197" t="s">
        <v>419</v>
      </c>
      <c r="BN27" s="830"/>
      <c r="BO27" s="817"/>
      <c r="BP27" s="817"/>
      <c r="BQ27" s="817"/>
      <c r="BR27" s="817"/>
      <c r="BS27" s="817"/>
      <c r="BT27" s="817"/>
      <c r="BU27" s="817"/>
      <c r="BV27" s="817"/>
      <c r="BW27" s="817"/>
      <c r="BX27" s="817"/>
      <c r="BY27" s="817"/>
      <c r="BZ27" s="817"/>
      <c r="CA27" s="800"/>
    </row>
    <row r="28" spans="1:79">
      <c r="B28" s="197" t="s">
        <v>420</v>
      </c>
      <c r="C28" s="812">
        <f>AVERAGE(U28,AJ28,AY28,BN28)</f>
        <v>5888.3576111569446</v>
      </c>
      <c r="E28" s="197" t="s">
        <v>470</v>
      </c>
      <c r="F28" s="820">
        <f>AVERAGE(G28:R28)</f>
        <v>20.495758831502862</v>
      </c>
      <c r="G28" s="817">
        <f>(G40)</f>
        <v>22.910594505693116</v>
      </c>
      <c r="H28" s="817">
        <f>(H40)</f>
        <v>21.318490234097897</v>
      </c>
      <c r="I28" s="817">
        <f t="shared" ref="I28:R28" si="28">(I40)</f>
        <v>25.254741340565673</v>
      </c>
      <c r="J28" s="817">
        <f t="shared" si="28"/>
        <v>14.373902658855341</v>
      </c>
      <c r="K28" s="817">
        <f t="shared" si="28"/>
        <v>20.306183874665646</v>
      </c>
      <c r="L28" s="817">
        <f t="shared" si="28"/>
        <v>41.435607215007209</v>
      </c>
      <c r="M28" s="817">
        <f t="shared" si="28"/>
        <v>27.442719741422184</v>
      </c>
      <c r="N28" s="817">
        <f t="shared" si="28"/>
        <v>22.762097850259451</v>
      </c>
      <c r="O28" s="817">
        <f t="shared" si="28"/>
        <v>16.477302560403896</v>
      </c>
      <c r="P28" s="817">
        <f t="shared" si="28"/>
        <v>16.911391634339687</v>
      </c>
      <c r="Q28" s="817">
        <f t="shared" si="28"/>
        <v>4.3761171366594356</v>
      </c>
      <c r="R28" s="817">
        <f t="shared" si="28"/>
        <v>12.379957226064798</v>
      </c>
      <c r="S28" s="800"/>
      <c r="T28" s="197" t="s">
        <v>470</v>
      </c>
      <c r="U28" s="833">
        <f>AVERAGE(V28:AG28)</f>
        <v>23200</v>
      </c>
      <c r="V28" s="834">
        <v>12400</v>
      </c>
      <c r="W28" s="834">
        <v>25000</v>
      </c>
      <c r="X28" s="834">
        <v>25000</v>
      </c>
      <c r="Y28" s="834">
        <v>25000</v>
      </c>
      <c r="Z28" s="834">
        <v>25000</v>
      </c>
      <c r="AA28" s="834">
        <v>25000</v>
      </c>
      <c r="AB28" s="834">
        <v>25000</v>
      </c>
      <c r="AC28" s="834"/>
      <c r="AD28" s="834"/>
      <c r="AE28" s="834"/>
      <c r="AF28" s="834"/>
      <c r="AG28" s="834"/>
      <c r="AH28" s="800"/>
      <c r="AI28" s="197" t="s">
        <v>470</v>
      </c>
      <c r="AJ28" s="827">
        <f>AVERAGE(AK28:AV28)</f>
        <v>82.5</v>
      </c>
      <c r="AK28" s="78">
        <v>82.5</v>
      </c>
      <c r="AL28" s="78">
        <v>82.5</v>
      </c>
      <c r="AM28" s="78">
        <v>82.5</v>
      </c>
      <c r="AN28" s="78">
        <v>82.5</v>
      </c>
      <c r="AO28" s="78">
        <v>82.5</v>
      </c>
      <c r="AP28" s="78">
        <v>82.5</v>
      </c>
      <c r="AQ28" s="78">
        <v>82.5</v>
      </c>
      <c r="AR28" s="78"/>
      <c r="AS28" s="78"/>
      <c r="AT28" s="78"/>
      <c r="AU28" s="78"/>
      <c r="AV28" s="78"/>
      <c r="AW28" s="800"/>
      <c r="AX28" s="197" t="s">
        <v>420</v>
      </c>
      <c r="AY28" s="830">
        <f>AVERAGE(AZ28:BK28)</f>
        <v>7.9256104331163533</v>
      </c>
      <c r="AZ28" s="817">
        <v>4.8336933659257575</v>
      </c>
      <c r="BA28" s="817">
        <v>26.097822349570201</v>
      </c>
      <c r="BB28" s="817">
        <v>8.2642890399478528</v>
      </c>
      <c r="BC28" s="817">
        <v>6.5233785822021115</v>
      </c>
      <c r="BD28" s="817">
        <v>3.7202581529499117</v>
      </c>
      <c r="BE28" s="817">
        <v>2.8961648745519715</v>
      </c>
      <c r="BF28" s="817">
        <v>3.1436666666666668</v>
      </c>
      <c r="BG28" s="817"/>
      <c r="BH28" s="817"/>
      <c r="BI28" s="817"/>
      <c r="BJ28" s="817"/>
      <c r="BK28" s="817"/>
      <c r="BL28" s="800"/>
      <c r="BM28" s="197" t="s">
        <v>420</v>
      </c>
      <c r="BN28" s="830">
        <f>AVERAGE(BO28:BZ28)</f>
        <v>263.00483419465985</v>
      </c>
      <c r="BO28" s="817">
        <v>276.875</v>
      </c>
      <c r="BP28" s="817">
        <v>287.2</v>
      </c>
      <c r="BQ28" s="817">
        <v>285.88888888888891</v>
      </c>
      <c r="BR28" s="817">
        <v>275.39999999999998</v>
      </c>
      <c r="BS28" s="817">
        <v>287.2</v>
      </c>
      <c r="BT28" s="817">
        <v>165.46511627906978</v>
      </c>
      <c r="BU28" s="817"/>
      <c r="BV28" s="817"/>
      <c r="BW28" s="817"/>
      <c r="BX28" s="817"/>
      <c r="BY28" s="817"/>
      <c r="BZ28" s="817"/>
      <c r="CA28" s="800"/>
    </row>
    <row r="29" spans="1:79">
      <c r="C29" s="812"/>
      <c r="F29" s="812"/>
      <c r="G29" s="817"/>
      <c r="H29" s="817"/>
      <c r="I29" s="817"/>
      <c r="J29" s="817"/>
      <c r="K29" s="817"/>
      <c r="L29" s="817"/>
      <c r="M29" s="817"/>
      <c r="N29" s="817"/>
      <c r="O29" s="817"/>
      <c r="P29" s="817"/>
      <c r="Q29" s="817"/>
      <c r="R29" s="817"/>
      <c r="S29" s="800"/>
      <c r="U29" s="845"/>
      <c r="V29" s="834"/>
      <c r="W29" s="834"/>
      <c r="X29" s="834"/>
      <c r="Y29" s="834"/>
      <c r="Z29" s="834"/>
      <c r="AA29" s="834"/>
      <c r="AB29" s="834"/>
      <c r="AC29" s="834"/>
      <c r="AD29" s="834"/>
      <c r="AE29" s="834"/>
      <c r="AF29" s="834"/>
      <c r="AG29" s="834"/>
      <c r="AH29" s="800"/>
      <c r="AJ29" s="825"/>
      <c r="AK29" s="78"/>
      <c r="AL29" s="78"/>
      <c r="AM29" s="78"/>
      <c r="AN29" s="78"/>
      <c r="AO29" s="78"/>
      <c r="AP29" s="78"/>
      <c r="AQ29" s="78"/>
      <c r="AR29" s="78"/>
      <c r="AS29" s="78"/>
      <c r="AT29" s="78"/>
      <c r="AU29" s="78"/>
      <c r="AV29" s="78"/>
      <c r="AW29" s="800"/>
      <c r="AY29" s="812"/>
      <c r="AZ29" s="817"/>
      <c r="BA29" s="817"/>
      <c r="BB29" s="817"/>
      <c r="BC29" s="817"/>
      <c r="BD29" s="817"/>
      <c r="BE29" s="817"/>
      <c r="BF29" s="817"/>
      <c r="BG29" s="817"/>
      <c r="BH29" s="817"/>
      <c r="BI29" s="817"/>
      <c r="BJ29" s="817"/>
      <c r="BK29" s="817"/>
      <c r="BL29" s="800"/>
      <c r="BN29" s="812"/>
      <c r="BO29" s="817"/>
      <c r="BP29" s="817"/>
      <c r="BQ29" s="817"/>
      <c r="BR29" s="817"/>
      <c r="BS29" s="817"/>
      <c r="BT29" s="817"/>
      <c r="BU29" s="817"/>
      <c r="BV29" s="817"/>
      <c r="BW29" s="817"/>
      <c r="BX29" s="817"/>
      <c r="BY29" s="817"/>
      <c r="BZ29" s="817"/>
      <c r="CA29" s="800"/>
    </row>
    <row r="30" spans="1:79">
      <c r="B30" s="197" t="str">
        <f>+B12</f>
        <v>GASTOS ADMINISTRATIVOS</v>
      </c>
      <c r="C30" s="812">
        <f>+C12</f>
        <v>1269923.7269599999</v>
      </c>
      <c r="E30" s="197" t="str">
        <f>+E12</f>
        <v>GASTOS ADMINISTRATIVOS</v>
      </c>
      <c r="F30" s="820">
        <f>+F12</f>
        <v>643188.32259999996</v>
      </c>
      <c r="G30" s="817" t="e">
        <f>+G12</f>
        <v>#REF!</v>
      </c>
      <c r="H30" s="817" t="e">
        <f t="shared" ref="H30:R30" si="29">+H12</f>
        <v>#REF!</v>
      </c>
      <c r="I30" s="817" t="e">
        <f t="shared" si="29"/>
        <v>#REF!</v>
      </c>
      <c r="J30" s="817" t="e">
        <f t="shared" si="29"/>
        <v>#REF!</v>
      </c>
      <c r="K30" s="817" t="e">
        <f t="shared" si="29"/>
        <v>#REF!</v>
      </c>
      <c r="L30" s="817" t="e">
        <f t="shared" si="29"/>
        <v>#REF!</v>
      </c>
      <c r="M30" s="817" t="e">
        <f t="shared" si="29"/>
        <v>#REF!</v>
      </c>
      <c r="N30" s="817" t="e">
        <f t="shared" si="29"/>
        <v>#REF!</v>
      </c>
      <c r="O30" s="817" t="e">
        <f t="shared" si="29"/>
        <v>#REF!</v>
      </c>
      <c r="P30" s="817" t="e">
        <f t="shared" si="29"/>
        <v>#REF!</v>
      </c>
      <c r="Q30" s="817" t="e">
        <f t="shared" si="29"/>
        <v>#REF!</v>
      </c>
      <c r="R30" s="817" t="e">
        <f t="shared" si="29"/>
        <v>#REF!</v>
      </c>
      <c r="S30" s="800"/>
      <c r="T30" s="197" t="str">
        <f>+T12</f>
        <v>GASTOS ADMINISTRATIVOS</v>
      </c>
      <c r="U30" s="833">
        <f>+U12</f>
        <v>354099.489</v>
      </c>
      <c r="V30" s="834">
        <f>+V12</f>
        <v>39457.786399999997</v>
      </c>
      <c r="W30" s="834">
        <f t="shared" ref="W30:AG30" si="30">+W12</f>
        <v>31698.296200000001</v>
      </c>
      <c r="X30" s="834">
        <f t="shared" si="30"/>
        <v>39224.072</v>
      </c>
      <c r="Y30" s="834">
        <f t="shared" si="30"/>
        <v>35505.371200000001</v>
      </c>
      <c r="Z30" s="834">
        <f t="shared" si="30"/>
        <v>35467.456400000003</v>
      </c>
      <c r="AA30" s="834">
        <f t="shared" si="30"/>
        <v>35813.166800000006</v>
      </c>
      <c r="AB30" s="834">
        <f t="shared" si="30"/>
        <v>50225.94</v>
      </c>
      <c r="AC30" s="834">
        <f t="shared" si="30"/>
        <v>17341.48</v>
      </c>
      <c r="AD30" s="834">
        <f t="shared" si="30"/>
        <v>17341.48</v>
      </c>
      <c r="AE30" s="834">
        <f t="shared" si="30"/>
        <v>17341.48</v>
      </c>
      <c r="AF30" s="834">
        <f t="shared" si="30"/>
        <v>17341.48</v>
      </c>
      <c r="AG30" s="834">
        <f t="shared" si="30"/>
        <v>17341.48</v>
      </c>
      <c r="AH30" s="800"/>
      <c r="AI30" s="197" t="str">
        <f>+AI12</f>
        <v>GASTOS ADMINISTRATIVOS</v>
      </c>
      <c r="AJ30" s="827">
        <f>+AJ12</f>
        <v>362154.58555999998</v>
      </c>
      <c r="AK30" s="78">
        <f>+AK12</f>
        <v>44040.364359999992</v>
      </c>
      <c r="AL30" s="78">
        <f t="shared" ref="AL30:AV30" si="31">+AL12</f>
        <v>32726.588799999998</v>
      </c>
      <c r="AM30" s="78">
        <f t="shared" si="31"/>
        <v>42983.361999999994</v>
      </c>
      <c r="AN30" s="78">
        <f t="shared" si="31"/>
        <v>38038.1368</v>
      </c>
      <c r="AO30" s="78">
        <f t="shared" si="31"/>
        <v>38221.288</v>
      </c>
      <c r="AP30" s="78">
        <f t="shared" si="31"/>
        <v>37854.9856</v>
      </c>
      <c r="AQ30" s="78">
        <f t="shared" si="31"/>
        <v>40428.879999999997</v>
      </c>
      <c r="AR30" s="78">
        <f t="shared" si="31"/>
        <v>17341.48</v>
      </c>
      <c r="AS30" s="78">
        <f t="shared" si="31"/>
        <v>17559.560000000001</v>
      </c>
      <c r="AT30" s="78">
        <f t="shared" si="31"/>
        <v>18164.98</v>
      </c>
      <c r="AU30" s="78">
        <f t="shared" si="31"/>
        <v>17453.48</v>
      </c>
      <c r="AV30" s="78">
        <f t="shared" si="31"/>
        <v>17341.48</v>
      </c>
      <c r="AW30" s="800"/>
      <c r="AX30" s="197" t="str">
        <f>+AX12</f>
        <v>GASTOS ADMINISTRATIVOS</v>
      </c>
      <c r="AY30" s="830">
        <f>+AY12</f>
        <v>313535.4278</v>
      </c>
      <c r="AZ30" s="817">
        <f>+AZ12</f>
        <v>35318.343000000001</v>
      </c>
      <c r="BA30" s="817">
        <f t="shared" ref="BA30:BK30" si="32">+BA12</f>
        <v>28088.5978</v>
      </c>
      <c r="BB30" s="817">
        <f t="shared" si="32"/>
        <v>34916.275800000003</v>
      </c>
      <c r="BC30" s="817">
        <f t="shared" si="32"/>
        <v>31670.970399999998</v>
      </c>
      <c r="BD30" s="817">
        <f t="shared" si="32"/>
        <v>31670.970399999998</v>
      </c>
      <c r="BE30" s="817">
        <f>+BE12</f>
        <v>31670.970399999998</v>
      </c>
      <c r="BF30" s="817">
        <f t="shared" si="32"/>
        <v>33491.9</v>
      </c>
      <c r="BG30" s="817">
        <f t="shared" si="32"/>
        <v>17341.48</v>
      </c>
      <c r="BH30" s="817">
        <f t="shared" si="32"/>
        <v>17341.48</v>
      </c>
      <c r="BI30" s="817">
        <f t="shared" si="32"/>
        <v>17341.48</v>
      </c>
      <c r="BJ30" s="817">
        <f t="shared" si="32"/>
        <v>17341.48</v>
      </c>
      <c r="BK30" s="817">
        <f t="shared" si="32"/>
        <v>17341.48</v>
      </c>
      <c r="BL30" s="800"/>
      <c r="BM30" s="197" t="str">
        <f>+BM12</f>
        <v>GASTOS ADMINISTRATIVOS</v>
      </c>
      <c r="BN30" s="830">
        <f>+BN12</f>
        <v>240134.22459999999</v>
      </c>
      <c r="BO30" s="817">
        <f>+BO12</f>
        <v>18758.529399999999</v>
      </c>
      <c r="BP30" s="817">
        <f>+BP12</f>
        <v>18534.6528</v>
      </c>
      <c r="BQ30" s="817">
        <f t="shared" ref="BQ30:BZ30" si="33">+BQ12</f>
        <v>19662.070199999998</v>
      </c>
      <c r="BR30" s="817">
        <f t="shared" si="33"/>
        <v>18536.3256</v>
      </c>
      <c r="BS30" s="817">
        <f t="shared" si="33"/>
        <v>18984.0638</v>
      </c>
      <c r="BT30" s="817">
        <f t="shared" si="33"/>
        <v>20746.842799999999</v>
      </c>
      <c r="BU30" s="817">
        <f t="shared" si="33"/>
        <v>18413.48</v>
      </c>
      <c r="BV30" s="817">
        <f t="shared" si="33"/>
        <v>18647.98</v>
      </c>
      <c r="BW30" s="817">
        <f t="shared" si="33"/>
        <v>18755.079999999998</v>
      </c>
      <c r="BX30" s="817">
        <f t="shared" si="33"/>
        <v>26355.08</v>
      </c>
      <c r="BY30" s="817">
        <f t="shared" si="33"/>
        <v>24759.64</v>
      </c>
      <c r="BZ30" s="817">
        <f t="shared" si="33"/>
        <v>17980.48</v>
      </c>
      <c r="CA30" s="800"/>
    </row>
    <row r="31" spans="1:79">
      <c r="B31" s="197" t="str">
        <f>+B24</f>
        <v xml:space="preserve">COSTOS DE PRODUCCION </v>
      </c>
      <c r="C31" s="812">
        <f>+C24</f>
        <v>5574170.6141581787</v>
      </c>
      <c r="E31" s="197" t="str">
        <f>+E24</f>
        <v xml:space="preserve">COSTOS DE PRODUCCION </v>
      </c>
      <c r="F31" s="820">
        <f>+F24</f>
        <v>1307811.1095999999</v>
      </c>
      <c r="G31" s="817">
        <f>+G24</f>
        <v>126764.31940000001</v>
      </c>
      <c r="H31" s="817">
        <f t="shared" ref="H31:R31" si="34">+H24</f>
        <v>90155.895200000014</v>
      </c>
      <c r="I31" s="817">
        <f t="shared" si="34"/>
        <v>130364.97480000001</v>
      </c>
      <c r="J31" s="817">
        <f t="shared" si="34"/>
        <v>95687.07</v>
      </c>
      <c r="K31" s="817">
        <f t="shared" si="34"/>
        <v>106282.5664</v>
      </c>
      <c r="L31" s="817">
        <f t="shared" si="34"/>
        <v>143574.37899999999</v>
      </c>
      <c r="M31" s="817">
        <f t="shared" si="34"/>
        <v>110374.61880000003</v>
      </c>
      <c r="N31" s="817">
        <f t="shared" si="34"/>
        <v>122824.28</v>
      </c>
      <c r="O31" s="817">
        <f t="shared" si="34"/>
        <v>91383.12000000001</v>
      </c>
      <c r="P31" s="817">
        <f t="shared" si="34"/>
        <v>100267.641</v>
      </c>
      <c r="Q31" s="817">
        <f t="shared" si="34"/>
        <v>28243.46</v>
      </c>
      <c r="R31" s="817">
        <f t="shared" si="34"/>
        <v>68015.485000000001</v>
      </c>
      <c r="S31" s="800"/>
      <c r="T31" s="197" t="str">
        <f>+T24</f>
        <v xml:space="preserve">COSTOS DE PRODUCCION </v>
      </c>
      <c r="U31" s="833">
        <f>+U24</f>
        <v>521773.48059000005</v>
      </c>
      <c r="V31" s="834">
        <f>+V24</f>
        <v>73105.820000000007</v>
      </c>
      <c r="W31" s="834">
        <f t="shared" ref="W31:AG31" si="35">+W24</f>
        <v>67890.397580000004</v>
      </c>
      <c r="X31" s="834">
        <f t="shared" si="35"/>
        <v>80169.638610000009</v>
      </c>
      <c r="Y31" s="834">
        <f t="shared" si="35"/>
        <v>76863.86</v>
      </c>
      <c r="Z31" s="834">
        <f t="shared" si="35"/>
        <v>70636.69</v>
      </c>
      <c r="AA31" s="834">
        <f t="shared" si="35"/>
        <v>74236.454400000002</v>
      </c>
      <c r="AB31" s="834">
        <f t="shared" si="35"/>
        <v>65125.34</v>
      </c>
      <c r="AC31" s="834">
        <f t="shared" si="35"/>
        <v>6329.38</v>
      </c>
      <c r="AD31" s="834">
        <f t="shared" si="35"/>
        <v>0</v>
      </c>
      <c r="AE31" s="834">
        <f t="shared" si="35"/>
        <v>0</v>
      </c>
      <c r="AF31" s="834">
        <f t="shared" si="35"/>
        <v>5698.9</v>
      </c>
      <c r="AG31" s="834">
        <f t="shared" si="35"/>
        <v>1717</v>
      </c>
      <c r="AH31" s="800"/>
      <c r="AI31" s="197" t="str">
        <f>+AI24</f>
        <v xml:space="preserve">COSTOS DE PRODUCCION </v>
      </c>
      <c r="AJ31" s="827">
        <f>+AJ24</f>
        <v>287946.54878999997</v>
      </c>
      <c r="AK31" s="78">
        <f>+AK24</f>
        <v>33570.400000000001</v>
      </c>
      <c r="AL31" s="78">
        <f t="shared" ref="AL31:AV31" si="36">+AL24</f>
        <v>39753.973700000002</v>
      </c>
      <c r="AM31" s="78">
        <f t="shared" si="36"/>
        <v>49215.415410000001</v>
      </c>
      <c r="AN31" s="78">
        <f t="shared" si="36"/>
        <v>35061.929999999993</v>
      </c>
      <c r="AO31" s="78">
        <f t="shared" si="36"/>
        <v>42200.84</v>
      </c>
      <c r="AP31" s="78">
        <f t="shared" si="36"/>
        <v>38355.68</v>
      </c>
      <c r="AQ31" s="78">
        <f t="shared" si="36"/>
        <v>48275.169680000006</v>
      </c>
      <c r="AR31" s="78">
        <f t="shared" si="36"/>
        <v>0</v>
      </c>
      <c r="AS31" s="78">
        <f t="shared" si="36"/>
        <v>0</v>
      </c>
      <c r="AT31" s="78">
        <f t="shared" si="36"/>
        <v>86.4</v>
      </c>
      <c r="AU31" s="78">
        <f t="shared" si="36"/>
        <v>301.14</v>
      </c>
      <c r="AV31" s="78">
        <f t="shared" si="36"/>
        <v>1125.5999999999999</v>
      </c>
      <c r="AW31" s="800"/>
      <c r="AX31" s="197" t="str">
        <f>+AX24</f>
        <v xml:space="preserve">COSTOS DE PRODUCCION </v>
      </c>
      <c r="AY31" s="830">
        <f>+AY24</f>
        <v>1823659.2753380954</v>
      </c>
      <c r="AZ31" s="817">
        <f>+AZ24</f>
        <v>188522.50248095236</v>
      </c>
      <c r="BA31" s="817">
        <f t="shared" ref="BA31:BK31" si="37">+BA24</f>
        <v>148108.42000000001</v>
      </c>
      <c r="BB31" s="817">
        <f t="shared" si="37"/>
        <v>443341.00000000006</v>
      </c>
      <c r="BC31" s="817">
        <f t="shared" si="37"/>
        <v>393868.44</v>
      </c>
      <c r="BD31" s="817">
        <f t="shared" si="37"/>
        <v>313662.48</v>
      </c>
      <c r="BE31" s="817">
        <f t="shared" si="37"/>
        <v>196443.23</v>
      </c>
      <c r="BF31" s="817">
        <f t="shared" si="37"/>
        <v>128209.20285714287</v>
      </c>
      <c r="BG31" s="817">
        <f t="shared" si="37"/>
        <v>2346</v>
      </c>
      <c r="BH31" s="817">
        <f t="shared" si="37"/>
        <v>2333.4</v>
      </c>
      <c r="BI31" s="817">
        <f t="shared" si="37"/>
        <v>2360</v>
      </c>
      <c r="BJ31" s="817">
        <f t="shared" si="37"/>
        <v>2424.6</v>
      </c>
      <c r="BK31" s="817">
        <f t="shared" si="37"/>
        <v>2040</v>
      </c>
      <c r="BL31" s="800"/>
      <c r="BM31" s="197" t="str">
        <f>+BM24</f>
        <v xml:space="preserve">COSTOS DE PRODUCCION </v>
      </c>
      <c r="BN31" s="830">
        <f>+BN24</f>
        <v>2940791.3094400833</v>
      </c>
      <c r="BO31" s="817">
        <f>+BO24</f>
        <v>271290.78827008302</v>
      </c>
      <c r="BP31" s="817">
        <f>+BP24</f>
        <v>500095.70640000002</v>
      </c>
      <c r="BQ31" s="817">
        <f t="shared" ref="BQ31:BZ31" si="38">+BQ24</f>
        <v>734281.80696999992</v>
      </c>
      <c r="BR31" s="817">
        <f t="shared" si="38"/>
        <v>595221.44499999995</v>
      </c>
      <c r="BS31" s="817">
        <f t="shared" si="38"/>
        <v>368239.93</v>
      </c>
      <c r="BT31" s="817">
        <f t="shared" si="38"/>
        <v>471415.13279999996</v>
      </c>
      <c r="BU31" s="817">
        <f t="shared" si="38"/>
        <v>0</v>
      </c>
      <c r="BV31" s="817">
        <f t="shared" si="38"/>
        <v>0</v>
      </c>
      <c r="BW31" s="817">
        <f t="shared" si="38"/>
        <v>0</v>
      </c>
      <c r="BX31" s="817">
        <f t="shared" si="38"/>
        <v>0</v>
      </c>
      <c r="BY31" s="817">
        <f t="shared" si="38"/>
        <v>246.5</v>
      </c>
      <c r="BZ31" s="817">
        <f t="shared" si="38"/>
        <v>0</v>
      </c>
      <c r="CA31" s="800"/>
    </row>
    <row r="32" spans="1:79" ht="15.75" thickBot="1">
      <c r="B32" s="293" t="s">
        <v>382</v>
      </c>
      <c r="C32" s="814">
        <f>+C30+C31</f>
        <v>6844094.3411181783</v>
      </c>
      <c r="E32" s="293" t="s">
        <v>382</v>
      </c>
      <c r="F32" s="821">
        <f>+F30+F31</f>
        <v>1950999.4321999997</v>
      </c>
      <c r="G32" s="822" t="e">
        <f>+G30+G31</f>
        <v>#REF!</v>
      </c>
      <c r="H32" s="822" t="e">
        <f t="shared" ref="H32:R32" si="39">+H30+H31</f>
        <v>#REF!</v>
      </c>
      <c r="I32" s="822" t="e">
        <f t="shared" si="39"/>
        <v>#REF!</v>
      </c>
      <c r="J32" s="822" t="e">
        <f t="shared" si="39"/>
        <v>#REF!</v>
      </c>
      <c r="K32" s="822" t="e">
        <f t="shared" si="39"/>
        <v>#REF!</v>
      </c>
      <c r="L32" s="822" t="e">
        <f t="shared" si="39"/>
        <v>#REF!</v>
      </c>
      <c r="M32" s="822" t="e">
        <f t="shared" si="39"/>
        <v>#REF!</v>
      </c>
      <c r="N32" s="822" t="e">
        <f t="shared" si="39"/>
        <v>#REF!</v>
      </c>
      <c r="O32" s="822" t="e">
        <f t="shared" si="39"/>
        <v>#REF!</v>
      </c>
      <c r="P32" s="822" t="e">
        <f t="shared" si="39"/>
        <v>#REF!</v>
      </c>
      <c r="Q32" s="822" t="e">
        <f t="shared" si="39"/>
        <v>#REF!</v>
      </c>
      <c r="R32" s="822" t="e">
        <f t="shared" si="39"/>
        <v>#REF!</v>
      </c>
      <c r="S32" s="800"/>
      <c r="T32" s="293" t="s">
        <v>382</v>
      </c>
      <c r="U32" s="835">
        <f>+U30+U31</f>
        <v>875872.96959000011</v>
      </c>
      <c r="V32" s="837">
        <f>+V30+V31</f>
        <v>112563.6064</v>
      </c>
      <c r="W32" s="837">
        <f t="shared" ref="W32:AG32" si="40">+W30+W31</f>
        <v>99588.693780000001</v>
      </c>
      <c r="X32" s="837">
        <f t="shared" si="40"/>
        <v>119393.71061000001</v>
      </c>
      <c r="Y32" s="837">
        <f t="shared" si="40"/>
        <v>112369.23120000001</v>
      </c>
      <c r="Z32" s="837">
        <f t="shared" si="40"/>
        <v>106104.1464</v>
      </c>
      <c r="AA32" s="837">
        <f t="shared" si="40"/>
        <v>110049.62120000001</v>
      </c>
      <c r="AB32" s="837">
        <f t="shared" si="40"/>
        <v>115351.28</v>
      </c>
      <c r="AC32" s="837">
        <f t="shared" si="40"/>
        <v>23670.86</v>
      </c>
      <c r="AD32" s="837">
        <f t="shared" si="40"/>
        <v>17341.48</v>
      </c>
      <c r="AE32" s="837">
        <f t="shared" si="40"/>
        <v>17341.48</v>
      </c>
      <c r="AF32" s="837">
        <f t="shared" si="40"/>
        <v>23040.379999999997</v>
      </c>
      <c r="AG32" s="837">
        <f t="shared" si="40"/>
        <v>19058.48</v>
      </c>
      <c r="AH32" s="800"/>
      <c r="AI32" s="293" t="s">
        <v>382</v>
      </c>
      <c r="AJ32" s="806">
        <f>+AJ30+AJ31</f>
        <v>650101.13434999995</v>
      </c>
      <c r="AK32" s="828">
        <f>+AK30+AK31</f>
        <v>77610.764360000001</v>
      </c>
      <c r="AL32" s="828">
        <f t="shared" ref="AL32:AV32" si="41">+AL30+AL31</f>
        <v>72480.5625</v>
      </c>
      <c r="AM32" s="828">
        <f t="shared" si="41"/>
        <v>92198.777409999995</v>
      </c>
      <c r="AN32" s="828">
        <f t="shared" si="41"/>
        <v>73100.066800000001</v>
      </c>
      <c r="AO32" s="828">
        <f t="shared" si="41"/>
        <v>80422.127999999997</v>
      </c>
      <c r="AP32" s="828">
        <f t="shared" si="41"/>
        <v>76210.665600000008</v>
      </c>
      <c r="AQ32" s="828">
        <f t="shared" si="41"/>
        <v>88704.049679999996</v>
      </c>
      <c r="AR32" s="828">
        <f t="shared" si="41"/>
        <v>17341.48</v>
      </c>
      <c r="AS32" s="828">
        <f t="shared" si="41"/>
        <v>17559.560000000001</v>
      </c>
      <c r="AT32" s="828">
        <f t="shared" si="41"/>
        <v>18251.38</v>
      </c>
      <c r="AU32" s="828">
        <f t="shared" si="41"/>
        <v>17754.62</v>
      </c>
      <c r="AV32" s="828">
        <f t="shared" si="41"/>
        <v>18467.079999999998</v>
      </c>
      <c r="AW32" s="800"/>
      <c r="AX32" s="293" t="s">
        <v>382</v>
      </c>
      <c r="AY32" s="831">
        <f>+AY30+AY31</f>
        <v>2137194.7031380953</v>
      </c>
      <c r="AZ32" s="822">
        <f>+AZ30+AZ31</f>
        <v>223840.84548095235</v>
      </c>
      <c r="BA32" s="822">
        <f t="shared" ref="BA32:BK32" si="42">+BA30+BA31</f>
        <v>176197.0178</v>
      </c>
      <c r="BB32" s="822">
        <f t="shared" si="42"/>
        <v>478257.27580000006</v>
      </c>
      <c r="BC32" s="822">
        <f t="shared" si="42"/>
        <v>425539.41039999999</v>
      </c>
      <c r="BD32" s="822">
        <f t="shared" si="42"/>
        <v>345333.45039999997</v>
      </c>
      <c r="BE32" s="822">
        <f>+BE30+BE31</f>
        <v>228114.2004</v>
      </c>
      <c r="BF32" s="822">
        <f t="shared" si="42"/>
        <v>161701.10285714286</v>
      </c>
      <c r="BG32" s="822">
        <f t="shared" si="42"/>
        <v>19687.48</v>
      </c>
      <c r="BH32" s="822">
        <f t="shared" si="42"/>
        <v>19674.88</v>
      </c>
      <c r="BI32" s="822">
        <f t="shared" si="42"/>
        <v>19701.48</v>
      </c>
      <c r="BJ32" s="822">
        <f t="shared" si="42"/>
        <v>19766.079999999998</v>
      </c>
      <c r="BK32" s="822">
        <f t="shared" si="42"/>
        <v>19381.48</v>
      </c>
      <c r="BL32" s="800"/>
      <c r="BM32" s="293" t="s">
        <v>382</v>
      </c>
      <c r="BN32" s="831">
        <f>+BN30+BN31</f>
        <v>3180925.5340400832</v>
      </c>
      <c r="BO32" s="822">
        <f>+BO30+BO31</f>
        <v>290049.31767008302</v>
      </c>
      <c r="BP32" s="822">
        <f>+BP30+BP31</f>
        <v>518630.35920000001</v>
      </c>
      <c r="BQ32" s="822">
        <f t="shared" ref="BQ32:BZ32" si="43">+BQ30+BQ31</f>
        <v>753943.87716999988</v>
      </c>
      <c r="BR32" s="822">
        <f t="shared" si="43"/>
        <v>613757.77059999993</v>
      </c>
      <c r="BS32" s="822">
        <f t="shared" si="43"/>
        <v>387223.9938</v>
      </c>
      <c r="BT32" s="822">
        <f t="shared" si="43"/>
        <v>492161.97559999995</v>
      </c>
      <c r="BU32" s="822">
        <f t="shared" si="43"/>
        <v>18413.48</v>
      </c>
      <c r="BV32" s="822">
        <f t="shared" si="43"/>
        <v>18647.98</v>
      </c>
      <c r="BW32" s="822">
        <f t="shared" si="43"/>
        <v>18755.079999999998</v>
      </c>
      <c r="BX32" s="822">
        <f t="shared" si="43"/>
        <v>26355.08</v>
      </c>
      <c r="BY32" s="822">
        <f t="shared" si="43"/>
        <v>25006.14</v>
      </c>
      <c r="BZ32" s="822">
        <f t="shared" si="43"/>
        <v>17980.48</v>
      </c>
      <c r="CA32" s="800"/>
    </row>
    <row r="33" spans="2:79" ht="7.5" customHeight="1" thickTop="1">
      <c r="S33" s="800"/>
      <c r="AH33" s="800"/>
      <c r="AW33" s="800"/>
      <c r="BL33" s="800"/>
      <c r="CA33" s="800"/>
    </row>
    <row r="34" spans="2:79">
      <c r="B34" s="197" t="s">
        <v>398</v>
      </c>
      <c r="C34" s="793">
        <f>(U34+AJ34+AY34+BN34)</f>
        <v>946287.16339999996</v>
      </c>
      <c r="E34" s="197" t="s">
        <v>398</v>
      </c>
      <c r="F34" s="298">
        <f>SUM(G34:R34)</f>
        <v>63121</v>
      </c>
      <c r="G34" s="305">
        <v>5533</v>
      </c>
      <c r="H34" s="299">
        <v>4229</v>
      </c>
      <c r="I34" s="299">
        <v>5162</v>
      </c>
      <c r="J34" s="299">
        <v>6657</v>
      </c>
      <c r="K34" s="299">
        <v>5234</v>
      </c>
      <c r="L34" s="299">
        <v>3465</v>
      </c>
      <c r="M34" s="299">
        <v>4022</v>
      </c>
      <c r="N34" s="299">
        <v>5396</v>
      </c>
      <c r="O34" s="299">
        <v>5546</v>
      </c>
      <c r="P34" s="299">
        <v>5929</v>
      </c>
      <c r="Q34" s="299">
        <v>6454</v>
      </c>
      <c r="R34" s="299">
        <v>5494</v>
      </c>
      <c r="S34" s="800"/>
      <c r="T34" s="197" t="s">
        <v>398</v>
      </c>
      <c r="U34" s="805">
        <f>SUM(V34:AB34)</f>
        <v>41.276000000000003</v>
      </c>
      <c r="V34" s="306">
        <f>5.142</f>
        <v>5.1420000000000003</v>
      </c>
      <c r="W34" s="303">
        <v>6.4329999999999998</v>
      </c>
      <c r="X34" s="303">
        <v>8.2370000000000001</v>
      </c>
      <c r="Y34" s="303">
        <v>6.0819999999999999</v>
      </c>
      <c r="Z34" s="303">
        <v>5.2939999999999996</v>
      </c>
      <c r="AA34" s="303">
        <v>5.7380000000000004</v>
      </c>
      <c r="AB34" s="303">
        <v>4.3499999999999996</v>
      </c>
      <c r="AC34" s="303"/>
      <c r="AD34" s="303"/>
      <c r="AE34" s="303"/>
      <c r="AF34" s="303"/>
      <c r="AG34" s="303"/>
      <c r="AH34" s="800"/>
      <c r="AI34" s="197" t="s">
        <v>398</v>
      </c>
      <c r="AJ34" s="805">
        <f>SUM(AK34:AQ34)</f>
        <v>2205.8873999999996</v>
      </c>
      <c r="AK34" s="319">
        <v>145.62</v>
      </c>
      <c r="AL34" s="320">
        <v>326.8</v>
      </c>
      <c r="AM34" s="320">
        <v>98.1</v>
      </c>
      <c r="AN34" s="320">
        <v>304.6146</v>
      </c>
      <c r="AO34" s="320">
        <v>222.76279999999997</v>
      </c>
      <c r="AP34" s="320">
        <v>406.59</v>
      </c>
      <c r="AQ34" s="303">
        <v>701.4</v>
      </c>
      <c r="AR34" s="303"/>
      <c r="AS34" s="303"/>
      <c r="AT34" s="303"/>
      <c r="AU34" s="303"/>
      <c r="AV34" s="303"/>
      <c r="AW34" s="800"/>
      <c r="AX34" s="197" t="s">
        <v>398</v>
      </c>
      <c r="AY34" s="805">
        <f>SUM(AZ34:BF34)</f>
        <v>929700</v>
      </c>
      <c r="AZ34" s="321">
        <f>188000+20000+7400+21000</f>
        <v>236400</v>
      </c>
      <c r="BA34" s="322">
        <v>3100</v>
      </c>
      <c r="BB34" s="322">
        <f>14000+6000+50000</f>
        <v>70000</v>
      </c>
      <c r="BC34" s="322">
        <f>28000+2000+61000</f>
        <v>91000</v>
      </c>
      <c r="BD34" s="322">
        <f>192000+34000+2000+46000+54000</f>
        <v>328000</v>
      </c>
      <c r="BE34" s="322">
        <f>35000+6000</f>
        <v>41000</v>
      </c>
      <c r="BF34" s="322">
        <f>99200+46000+3000+12000</f>
        <v>160200</v>
      </c>
      <c r="BG34" s="322"/>
      <c r="BH34" s="322"/>
      <c r="BI34" s="322"/>
      <c r="BJ34" s="322"/>
      <c r="BK34" s="322"/>
      <c r="BL34" s="800"/>
      <c r="BM34" s="197" t="s">
        <v>398</v>
      </c>
      <c r="BN34" s="805">
        <f>SUM(BO34:BT34)</f>
        <v>14340</v>
      </c>
      <c r="BO34" s="321">
        <f>2660-1060-600</f>
        <v>1000</v>
      </c>
      <c r="BP34" s="322">
        <f>1600+600</f>
        <v>2200</v>
      </c>
      <c r="BQ34" s="322">
        <f>2200+1000</f>
        <v>3200</v>
      </c>
      <c r="BR34" s="322">
        <f>1800+800</f>
        <v>2600</v>
      </c>
      <c r="BS34" s="322">
        <v>1940</v>
      </c>
      <c r="BT34" s="303">
        <v>3400</v>
      </c>
      <c r="BU34" s="303"/>
      <c r="BV34" s="303"/>
      <c r="BW34" s="303"/>
      <c r="BX34" s="303"/>
      <c r="BY34" s="303"/>
      <c r="BZ34" s="303"/>
      <c r="CA34" s="800"/>
    </row>
    <row r="35" spans="2:79" ht="15.75" thickBot="1">
      <c r="B35" s="310" t="s">
        <v>399</v>
      </c>
      <c r="C35" s="794">
        <f>AVERAGE(U35,AJ35,AY35,BN35)</f>
        <v>5011.9025658647852</v>
      </c>
      <c r="D35" s="796"/>
      <c r="E35" s="310" t="s">
        <v>399</v>
      </c>
      <c r="F35" s="851" t="e">
        <f>AVERAGE(G35:R35)</f>
        <v>#REF!</v>
      </c>
      <c r="G35" s="836" t="e">
        <f>+G32/G34</f>
        <v>#REF!</v>
      </c>
      <c r="H35" s="836" t="e">
        <f t="shared" ref="H35:R35" si="44">+H32/H34</f>
        <v>#REF!</v>
      </c>
      <c r="I35" s="836" t="e">
        <f t="shared" si="44"/>
        <v>#REF!</v>
      </c>
      <c r="J35" s="836" t="e">
        <f t="shared" si="44"/>
        <v>#REF!</v>
      </c>
      <c r="K35" s="836" t="e">
        <f t="shared" si="44"/>
        <v>#REF!</v>
      </c>
      <c r="L35" s="836" t="e">
        <f t="shared" si="44"/>
        <v>#REF!</v>
      </c>
      <c r="M35" s="836" t="e">
        <f t="shared" si="44"/>
        <v>#REF!</v>
      </c>
      <c r="N35" s="836" t="e">
        <f t="shared" si="44"/>
        <v>#REF!</v>
      </c>
      <c r="O35" s="836" t="e">
        <f t="shared" si="44"/>
        <v>#REF!</v>
      </c>
      <c r="P35" s="836" t="e">
        <f t="shared" si="44"/>
        <v>#REF!</v>
      </c>
      <c r="Q35" s="836" t="e">
        <f t="shared" si="44"/>
        <v>#REF!</v>
      </c>
      <c r="R35" s="836" t="e">
        <f t="shared" si="44"/>
        <v>#REF!</v>
      </c>
      <c r="S35" s="802"/>
      <c r="T35" s="310" t="s">
        <v>399</v>
      </c>
      <c r="U35" s="835">
        <f>AVERAGE(V35:AB35)</f>
        <v>19440.200190247484</v>
      </c>
      <c r="V35" s="836">
        <f t="shared" ref="V35:AG35" si="45">+V32/V34</f>
        <v>21891.016413846752</v>
      </c>
      <c r="W35" s="836">
        <f t="shared" si="45"/>
        <v>15480.909961137884</v>
      </c>
      <c r="X35" s="836">
        <f t="shared" si="45"/>
        <v>14494.80522156125</v>
      </c>
      <c r="Y35" s="836">
        <f t="shared" si="45"/>
        <v>18475.703913186455</v>
      </c>
      <c r="Z35" s="836">
        <f t="shared" si="45"/>
        <v>20042.339705326787</v>
      </c>
      <c r="AA35" s="836">
        <f t="shared" si="45"/>
        <v>19179.09048448937</v>
      </c>
      <c r="AB35" s="836">
        <f t="shared" si="45"/>
        <v>26517.53563218391</v>
      </c>
      <c r="AC35" s="836" t="e">
        <f t="shared" si="45"/>
        <v>#DIV/0!</v>
      </c>
      <c r="AD35" s="836" t="e">
        <f t="shared" si="45"/>
        <v>#DIV/0!</v>
      </c>
      <c r="AE35" s="836" t="e">
        <f t="shared" si="45"/>
        <v>#DIV/0!</v>
      </c>
      <c r="AF35" s="836" t="e">
        <f t="shared" si="45"/>
        <v>#DIV/0!</v>
      </c>
      <c r="AG35" s="836" t="e">
        <f t="shared" si="45"/>
        <v>#DIV/0!</v>
      </c>
      <c r="AH35" s="802"/>
      <c r="AI35" s="310" t="s">
        <v>399</v>
      </c>
      <c r="AJ35" s="835">
        <f>AVERAGE(AK35:AQ35)</f>
        <v>372.78628811047099</v>
      </c>
      <c r="AK35" s="836">
        <f>+AK32/AK34</f>
        <v>532.96775415464913</v>
      </c>
      <c r="AL35" s="836">
        <f t="shared" ref="AL35:AV35" si="46">+AL32/AL34</f>
        <v>221.78874694002448</v>
      </c>
      <c r="AM35" s="836">
        <f t="shared" si="46"/>
        <v>939.84482579001019</v>
      </c>
      <c r="AN35" s="836">
        <f t="shared" si="46"/>
        <v>239.97558488660755</v>
      </c>
      <c r="AO35" s="836">
        <f t="shared" si="46"/>
        <v>361.0213554507306</v>
      </c>
      <c r="AP35" s="836">
        <f t="shared" si="46"/>
        <v>187.43861285324286</v>
      </c>
      <c r="AQ35" s="836">
        <f t="shared" si="46"/>
        <v>126.4671366980325</v>
      </c>
      <c r="AR35" s="836" t="e">
        <f t="shared" si="46"/>
        <v>#DIV/0!</v>
      </c>
      <c r="AS35" s="836" t="e">
        <f t="shared" si="46"/>
        <v>#DIV/0!</v>
      </c>
      <c r="AT35" s="836" t="e">
        <f t="shared" si="46"/>
        <v>#DIV/0!</v>
      </c>
      <c r="AU35" s="836" t="e">
        <f t="shared" si="46"/>
        <v>#DIV/0!</v>
      </c>
      <c r="AV35" s="836" t="e">
        <f t="shared" si="46"/>
        <v>#DIV/0!</v>
      </c>
      <c r="AW35" s="802"/>
      <c r="AX35" s="310" t="s">
        <v>399</v>
      </c>
      <c r="AY35" s="835">
        <f>AVERAGE(AZ35:BF35)</f>
        <v>10.988443153057897</v>
      </c>
      <c r="AZ35" s="836">
        <f>+AZ32/AZ34</f>
        <v>0.94687328883651589</v>
      </c>
      <c r="BA35" s="836">
        <f>+BA32/BA34</f>
        <v>56.837747677419358</v>
      </c>
      <c r="BB35" s="836">
        <f t="shared" ref="BB35:BK35" si="47">+BB32/BB34</f>
        <v>6.832246797142858</v>
      </c>
      <c r="BC35" s="836">
        <f t="shared" si="47"/>
        <v>4.6762572571428569</v>
      </c>
      <c r="BD35" s="836">
        <f t="shared" si="47"/>
        <v>1.0528458853658536</v>
      </c>
      <c r="BE35" s="836">
        <f t="shared" si="47"/>
        <v>5.5637609853658541</v>
      </c>
      <c r="BF35" s="836">
        <f t="shared" si="47"/>
        <v>1.0093701801319779</v>
      </c>
      <c r="BG35" s="836" t="e">
        <f t="shared" si="47"/>
        <v>#DIV/0!</v>
      </c>
      <c r="BH35" s="836" t="e">
        <f t="shared" si="47"/>
        <v>#DIV/0!</v>
      </c>
      <c r="BI35" s="836" t="e">
        <f t="shared" si="47"/>
        <v>#DIV/0!</v>
      </c>
      <c r="BJ35" s="836" t="e">
        <f t="shared" si="47"/>
        <v>#DIV/0!</v>
      </c>
      <c r="BK35" s="836" t="e">
        <f t="shared" si="47"/>
        <v>#DIV/0!</v>
      </c>
      <c r="BL35" s="802"/>
      <c r="BM35" s="310" t="s">
        <v>399</v>
      </c>
      <c r="BN35" s="806">
        <f>AVERAGE(BO35:BT35)</f>
        <v>223.63534194812701</v>
      </c>
      <c r="BO35" s="307">
        <f>+BO32/BO34</f>
        <v>290.04931767008304</v>
      </c>
      <c r="BP35" s="307">
        <f t="shared" ref="BP35:BZ35" si="48">+BP32/BP34</f>
        <v>235.74107236363636</v>
      </c>
      <c r="BQ35" s="307">
        <f t="shared" si="48"/>
        <v>235.60746161562497</v>
      </c>
      <c r="BR35" s="307">
        <f t="shared" si="48"/>
        <v>236.06068099999996</v>
      </c>
      <c r="BS35" s="307">
        <f t="shared" si="48"/>
        <v>199.59999680412372</v>
      </c>
      <c r="BT35" s="307">
        <f t="shared" si="48"/>
        <v>144.7535222352941</v>
      </c>
      <c r="BU35" s="307" t="e">
        <f t="shared" si="48"/>
        <v>#DIV/0!</v>
      </c>
      <c r="BV35" s="307" t="e">
        <f t="shared" si="48"/>
        <v>#DIV/0!</v>
      </c>
      <c r="BW35" s="307" t="e">
        <f t="shared" si="48"/>
        <v>#DIV/0!</v>
      </c>
      <c r="BX35" s="307" t="e">
        <f t="shared" si="48"/>
        <v>#DIV/0!</v>
      </c>
      <c r="BY35" s="307" t="e">
        <f t="shared" si="48"/>
        <v>#DIV/0!</v>
      </c>
      <c r="BZ35" s="307" t="e">
        <f t="shared" si="48"/>
        <v>#DIV/0!</v>
      </c>
      <c r="CA35" s="802"/>
    </row>
    <row r="36" spans="2:79" ht="15.75" thickTop="1">
      <c r="S36" s="800"/>
      <c r="AH36" s="800"/>
      <c r="AW36" s="800"/>
      <c r="BL36" s="800"/>
      <c r="CA36" s="800"/>
    </row>
    <row r="37" spans="2:79">
      <c r="C37" s="791">
        <f>+C4</f>
        <v>2023</v>
      </c>
      <c r="F37" s="292">
        <f t="shared" ref="F37:R37" si="49">+F4</f>
        <v>2022</v>
      </c>
      <c r="G37" s="297" t="str">
        <f t="shared" si="49"/>
        <v>Enero</v>
      </c>
      <c r="H37" s="297" t="str">
        <f t="shared" si="49"/>
        <v>Febrero</v>
      </c>
      <c r="I37" s="297" t="str">
        <f t="shared" si="49"/>
        <v xml:space="preserve">Marzo  </v>
      </c>
      <c r="J37" s="297" t="str">
        <f t="shared" si="49"/>
        <v>Abril</v>
      </c>
      <c r="K37" s="297" t="str">
        <f t="shared" si="49"/>
        <v>Mayo</v>
      </c>
      <c r="L37" s="297" t="str">
        <f t="shared" si="49"/>
        <v>Junio</v>
      </c>
      <c r="M37" s="297" t="str">
        <f t="shared" si="49"/>
        <v>Julio</v>
      </c>
      <c r="N37" s="297" t="str">
        <f t="shared" si="49"/>
        <v>Agosto</v>
      </c>
      <c r="O37" s="297" t="str">
        <f t="shared" si="49"/>
        <v>Septiembre</v>
      </c>
      <c r="P37" s="297" t="str">
        <f t="shared" si="49"/>
        <v>Octubre</v>
      </c>
      <c r="Q37" s="297" t="str">
        <f t="shared" si="49"/>
        <v>Noviembre</v>
      </c>
      <c r="R37" s="297" t="str">
        <f t="shared" si="49"/>
        <v>Diciembre</v>
      </c>
      <c r="S37" s="800"/>
      <c r="U37" s="803">
        <f t="shared" ref="U37:AG37" si="50">+U4</f>
        <v>2023</v>
      </c>
      <c r="V37" s="297" t="str">
        <f t="shared" si="50"/>
        <v>Enero</v>
      </c>
      <c r="W37" s="297" t="str">
        <f t="shared" si="50"/>
        <v>Febrero</v>
      </c>
      <c r="X37" s="297" t="str">
        <f t="shared" si="50"/>
        <v xml:space="preserve">Marzo  </v>
      </c>
      <c r="Y37" s="297" t="str">
        <f t="shared" si="50"/>
        <v>Abril</v>
      </c>
      <c r="Z37" s="297" t="str">
        <f t="shared" si="50"/>
        <v>Mayo</v>
      </c>
      <c r="AA37" s="297" t="str">
        <f t="shared" si="50"/>
        <v>Junio</v>
      </c>
      <c r="AB37" s="297" t="str">
        <f t="shared" si="50"/>
        <v>Julio</v>
      </c>
      <c r="AC37" s="297" t="str">
        <f t="shared" si="50"/>
        <v>Agosto</v>
      </c>
      <c r="AD37" s="297" t="str">
        <f t="shared" si="50"/>
        <v>Septiembre</v>
      </c>
      <c r="AE37" s="297" t="str">
        <f t="shared" si="50"/>
        <v>Octubre</v>
      </c>
      <c r="AF37" s="297" t="str">
        <f t="shared" si="50"/>
        <v>Noviembre</v>
      </c>
      <c r="AG37" s="297" t="str">
        <f t="shared" si="50"/>
        <v>Diciembre</v>
      </c>
      <c r="AH37" s="800"/>
      <c r="AJ37" s="803">
        <f t="shared" ref="AJ37:AV37" si="51">+AJ4</f>
        <v>2023</v>
      </c>
      <c r="AK37" s="297" t="str">
        <f t="shared" si="51"/>
        <v>Enero</v>
      </c>
      <c r="AL37" s="297" t="str">
        <f t="shared" si="51"/>
        <v>Febrero</v>
      </c>
      <c r="AM37" s="297" t="str">
        <f t="shared" si="51"/>
        <v xml:space="preserve">Marzo  </v>
      </c>
      <c r="AN37" s="297" t="str">
        <f t="shared" si="51"/>
        <v>Abril</v>
      </c>
      <c r="AO37" s="297" t="str">
        <f t="shared" si="51"/>
        <v>Mayo</v>
      </c>
      <c r="AP37" s="297" t="str">
        <f t="shared" si="51"/>
        <v>Junio</v>
      </c>
      <c r="AQ37" s="297" t="str">
        <f t="shared" si="51"/>
        <v>Julio</v>
      </c>
      <c r="AR37" s="297" t="str">
        <f t="shared" si="51"/>
        <v>Agosto</v>
      </c>
      <c r="AS37" s="297" t="str">
        <f t="shared" si="51"/>
        <v>Septiembre</v>
      </c>
      <c r="AT37" s="297" t="str">
        <f t="shared" si="51"/>
        <v>Octubre</v>
      </c>
      <c r="AU37" s="297" t="str">
        <f t="shared" si="51"/>
        <v>Noviembre</v>
      </c>
      <c r="AV37" s="297" t="str">
        <f t="shared" si="51"/>
        <v>Diciembre</v>
      </c>
      <c r="AW37" s="800"/>
      <c r="AY37" s="803">
        <f t="shared" ref="AY37:BK37" si="52">+AY4</f>
        <v>2023</v>
      </c>
      <c r="AZ37" s="297" t="str">
        <f t="shared" si="52"/>
        <v>Enero</v>
      </c>
      <c r="BA37" s="297" t="str">
        <f t="shared" si="52"/>
        <v>Febrero</v>
      </c>
      <c r="BB37" s="297" t="str">
        <f t="shared" si="52"/>
        <v xml:space="preserve">Marzo  </v>
      </c>
      <c r="BC37" s="297" t="str">
        <f t="shared" si="52"/>
        <v>Abril</v>
      </c>
      <c r="BD37" s="297" t="str">
        <f t="shared" si="52"/>
        <v>Mayo</v>
      </c>
      <c r="BE37" s="297" t="str">
        <f t="shared" si="52"/>
        <v>Junio</v>
      </c>
      <c r="BF37" s="297" t="str">
        <f t="shared" si="52"/>
        <v>Julio</v>
      </c>
      <c r="BG37" s="297" t="str">
        <f t="shared" si="52"/>
        <v>Agosto</v>
      </c>
      <c r="BH37" s="297" t="str">
        <f t="shared" si="52"/>
        <v>Septiembre</v>
      </c>
      <c r="BI37" s="297" t="str">
        <f t="shared" si="52"/>
        <v>Octubre</v>
      </c>
      <c r="BJ37" s="297" t="str">
        <f t="shared" si="52"/>
        <v>Noviembre</v>
      </c>
      <c r="BK37" s="297" t="str">
        <f t="shared" si="52"/>
        <v>Diciembre</v>
      </c>
      <c r="BL37" s="800"/>
      <c r="BN37" s="803">
        <f t="shared" ref="BN37:BZ37" si="53">+BN4</f>
        <v>2023</v>
      </c>
      <c r="BO37" s="297" t="str">
        <f t="shared" si="53"/>
        <v>Enero</v>
      </c>
      <c r="BP37" s="297" t="str">
        <f t="shared" si="53"/>
        <v>Febrero</v>
      </c>
      <c r="BQ37" s="297" t="str">
        <f t="shared" si="53"/>
        <v xml:space="preserve">Marzo  </v>
      </c>
      <c r="BR37" s="297" t="str">
        <f t="shared" si="53"/>
        <v>Abril</v>
      </c>
      <c r="BS37" s="297" t="str">
        <f t="shared" si="53"/>
        <v>Mayo</v>
      </c>
      <c r="BT37" s="297" t="str">
        <f t="shared" si="53"/>
        <v>Junio</v>
      </c>
      <c r="BU37" s="297" t="str">
        <f t="shared" si="53"/>
        <v>Julio</v>
      </c>
      <c r="BV37" s="297" t="str">
        <f t="shared" si="53"/>
        <v>Agosto</v>
      </c>
      <c r="BW37" s="297" t="str">
        <f t="shared" si="53"/>
        <v>Septiembre</v>
      </c>
      <c r="BX37" s="297" t="str">
        <f t="shared" si="53"/>
        <v>Octubre</v>
      </c>
      <c r="BY37" s="297" t="str">
        <f t="shared" si="53"/>
        <v>Noviembre</v>
      </c>
      <c r="BZ37" s="297" t="str">
        <f t="shared" si="53"/>
        <v>Diciembre</v>
      </c>
      <c r="CA37" s="800"/>
    </row>
    <row r="38" spans="2:79">
      <c r="B38" s="197" t="s">
        <v>417</v>
      </c>
      <c r="C38" s="792">
        <f>(U38+AJ38+AY38+BN38)</f>
        <v>5547161.6941581778</v>
      </c>
      <c r="E38" s="197" t="s">
        <v>417</v>
      </c>
      <c r="F38" s="844">
        <f t="shared" ref="F38:R38" si="54">+F24</f>
        <v>1307811.1095999999</v>
      </c>
      <c r="G38" s="834">
        <f t="shared" si="54"/>
        <v>126764.31940000001</v>
      </c>
      <c r="H38" s="834">
        <f t="shared" si="54"/>
        <v>90155.895200000014</v>
      </c>
      <c r="I38" s="834">
        <f t="shared" si="54"/>
        <v>130364.97480000001</v>
      </c>
      <c r="J38" s="834">
        <f t="shared" si="54"/>
        <v>95687.07</v>
      </c>
      <c r="K38" s="834">
        <f t="shared" si="54"/>
        <v>106282.5664</v>
      </c>
      <c r="L38" s="834">
        <f t="shared" si="54"/>
        <v>143574.37899999999</v>
      </c>
      <c r="M38" s="834">
        <f t="shared" si="54"/>
        <v>110374.61880000003</v>
      </c>
      <c r="N38" s="834">
        <f t="shared" si="54"/>
        <v>122824.28</v>
      </c>
      <c r="O38" s="834">
        <f t="shared" si="54"/>
        <v>91383.12000000001</v>
      </c>
      <c r="P38" s="834">
        <f t="shared" si="54"/>
        <v>100267.641</v>
      </c>
      <c r="Q38" s="834">
        <f t="shared" si="54"/>
        <v>28243.46</v>
      </c>
      <c r="R38" s="834">
        <f t="shared" si="54"/>
        <v>68015.485000000001</v>
      </c>
      <c r="S38" s="800"/>
      <c r="T38" s="197" t="s">
        <v>417</v>
      </c>
      <c r="U38" s="833">
        <f>SUM(V38:AB38)</f>
        <v>508028.20059000002</v>
      </c>
      <c r="V38" s="834">
        <f t="shared" ref="V38:AG38" si="55">+V24</f>
        <v>73105.820000000007</v>
      </c>
      <c r="W38" s="834">
        <f t="shared" si="55"/>
        <v>67890.397580000004</v>
      </c>
      <c r="X38" s="834">
        <f t="shared" si="55"/>
        <v>80169.638610000009</v>
      </c>
      <c r="Y38" s="834">
        <f t="shared" si="55"/>
        <v>76863.86</v>
      </c>
      <c r="Z38" s="834">
        <f t="shared" si="55"/>
        <v>70636.69</v>
      </c>
      <c r="AA38" s="834">
        <f t="shared" si="55"/>
        <v>74236.454400000002</v>
      </c>
      <c r="AB38" s="834">
        <f t="shared" si="55"/>
        <v>65125.34</v>
      </c>
      <c r="AC38" s="834">
        <f t="shared" si="55"/>
        <v>6329.38</v>
      </c>
      <c r="AD38" s="834">
        <f t="shared" si="55"/>
        <v>0</v>
      </c>
      <c r="AE38" s="834">
        <f t="shared" si="55"/>
        <v>0</v>
      </c>
      <c r="AF38" s="834">
        <f t="shared" si="55"/>
        <v>5698.9</v>
      </c>
      <c r="AG38" s="834">
        <f t="shared" si="55"/>
        <v>1717</v>
      </c>
      <c r="AH38" s="800"/>
      <c r="AI38" s="197" t="s">
        <v>417</v>
      </c>
      <c r="AJ38" s="833">
        <f>SUM(AK38:AQ38)</f>
        <v>286433.40879000002</v>
      </c>
      <c r="AK38" s="834">
        <f>+AK24</f>
        <v>33570.400000000001</v>
      </c>
      <c r="AL38" s="834">
        <f t="shared" ref="AL38:AV38" si="56">+AL24</f>
        <v>39753.973700000002</v>
      </c>
      <c r="AM38" s="834">
        <f t="shared" si="56"/>
        <v>49215.415410000001</v>
      </c>
      <c r="AN38" s="834">
        <f t="shared" si="56"/>
        <v>35061.929999999993</v>
      </c>
      <c r="AO38" s="834">
        <f t="shared" si="56"/>
        <v>42200.84</v>
      </c>
      <c r="AP38" s="834">
        <f t="shared" si="56"/>
        <v>38355.68</v>
      </c>
      <c r="AQ38" s="834">
        <f t="shared" si="56"/>
        <v>48275.169680000006</v>
      </c>
      <c r="AR38" s="834">
        <f t="shared" si="56"/>
        <v>0</v>
      </c>
      <c r="AS38" s="834">
        <f t="shared" si="56"/>
        <v>0</v>
      </c>
      <c r="AT38" s="834">
        <f t="shared" si="56"/>
        <v>86.4</v>
      </c>
      <c r="AU38" s="834">
        <f t="shared" si="56"/>
        <v>301.14</v>
      </c>
      <c r="AV38" s="834">
        <f t="shared" si="56"/>
        <v>1125.5999999999999</v>
      </c>
      <c r="AW38" s="800"/>
      <c r="AX38" s="197" t="s">
        <v>417</v>
      </c>
      <c r="AY38" s="833">
        <f>SUM(AZ38:BF38)</f>
        <v>1812155.2753380951</v>
      </c>
      <c r="AZ38" s="834">
        <f>+AZ24</f>
        <v>188522.50248095236</v>
      </c>
      <c r="BA38" s="834">
        <f t="shared" ref="BA38:BK38" si="57">+BA24</f>
        <v>148108.42000000001</v>
      </c>
      <c r="BB38" s="834">
        <f t="shared" si="57"/>
        <v>443341.00000000006</v>
      </c>
      <c r="BC38" s="834">
        <f t="shared" si="57"/>
        <v>393868.44</v>
      </c>
      <c r="BD38" s="834">
        <f t="shared" si="57"/>
        <v>313662.48</v>
      </c>
      <c r="BE38" s="834">
        <f t="shared" si="57"/>
        <v>196443.23</v>
      </c>
      <c r="BF38" s="834">
        <f t="shared" si="57"/>
        <v>128209.20285714287</v>
      </c>
      <c r="BG38" s="834">
        <f t="shared" si="57"/>
        <v>2346</v>
      </c>
      <c r="BH38" s="834">
        <f t="shared" si="57"/>
        <v>2333.4</v>
      </c>
      <c r="BI38" s="834">
        <f t="shared" si="57"/>
        <v>2360</v>
      </c>
      <c r="BJ38" s="834">
        <f t="shared" si="57"/>
        <v>2424.6</v>
      </c>
      <c r="BK38" s="834">
        <f t="shared" si="57"/>
        <v>2040</v>
      </c>
      <c r="BL38" s="800"/>
      <c r="BM38" s="197" t="s">
        <v>417</v>
      </c>
      <c r="BN38" s="833">
        <f>SUM(BO38:BT38)</f>
        <v>2940544.8094400829</v>
      </c>
      <c r="BO38" s="834">
        <f>+BO24</f>
        <v>271290.78827008302</v>
      </c>
      <c r="BP38" s="834">
        <f t="shared" ref="BP38:BZ38" si="58">+BP24</f>
        <v>500095.70640000002</v>
      </c>
      <c r="BQ38" s="834">
        <f t="shared" si="58"/>
        <v>734281.80696999992</v>
      </c>
      <c r="BR38" s="834">
        <f t="shared" si="58"/>
        <v>595221.44499999995</v>
      </c>
      <c r="BS38" s="834">
        <f t="shared" si="58"/>
        <v>368239.93</v>
      </c>
      <c r="BT38" s="834">
        <f t="shared" si="58"/>
        <v>471415.13279999996</v>
      </c>
      <c r="BU38" s="834">
        <f t="shared" si="58"/>
        <v>0</v>
      </c>
      <c r="BV38" s="834">
        <f t="shared" si="58"/>
        <v>0</v>
      </c>
      <c r="BW38" s="834">
        <f t="shared" si="58"/>
        <v>0</v>
      </c>
      <c r="BX38" s="834">
        <f t="shared" si="58"/>
        <v>0</v>
      </c>
      <c r="BY38" s="834">
        <f t="shared" si="58"/>
        <v>246.5</v>
      </c>
      <c r="BZ38" s="834">
        <f t="shared" si="58"/>
        <v>0</v>
      </c>
      <c r="CA38" s="800"/>
    </row>
    <row r="39" spans="2:79">
      <c r="B39" s="197" t="s">
        <v>398</v>
      </c>
      <c r="C39" s="795">
        <f>(U39+AJ39+AY39+BN39)</f>
        <v>946287.16339999996</v>
      </c>
      <c r="E39" s="197" t="s">
        <v>398</v>
      </c>
      <c r="F39" s="298">
        <f>SUM(G39:R39)</f>
        <v>63121</v>
      </c>
      <c r="G39" s="299">
        <f>(G34)</f>
        <v>5533</v>
      </c>
      <c r="H39" s="299">
        <f t="shared" ref="H39:R39" si="59">(H34)</f>
        <v>4229</v>
      </c>
      <c r="I39" s="299">
        <f t="shared" si="59"/>
        <v>5162</v>
      </c>
      <c r="J39" s="299">
        <f t="shared" si="59"/>
        <v>6657</v>
      </c>
      <c r="K39" s="299">
        <f t="shared" si="59"/>
        <v>5234</v>
      </c>
      <c r="L39" s="299">
        <f t="shared" si="59"/>
        <v>3465</v>
      </c>
      <c r="M39" s="299">
        <f t="shared" si="59"/>
        <v>4022</v>
      </c>
      <c r="N39" s="299">
        <f t="shared" si="59"/>
        <v>5396</v>
      </c>
      <c r="O39" s="299">
        <f t="shared" si="59"/>
        <v>5546</v>
      </c>
      <c r="P39" s="299">
        <f t="shared" si="59"/>
        <v>5929</v>
      </c>
      <c r="Q39" s="299">
        <f t="shared" si="59"/>
        <v>6454</v>
      </c>
      <c r="R39" s="299">
        <f t="shared" si="59"/>
        <v>5494</v>
      </c>
      <c r="S39" s="800"/>
      <c r="T39" s="197" t="s">
        <v>398</v>
      </c>
      <c r="U39" s="807">
        <f>SUM(V39:AB39)</f>
        <v>41.276000000000003</v>
      </c>
      <c r="V39" s="303">
        <f>(V34)</f>
        <v>5.1420000000000003</v>
      </c>
      <c r="W39" s="303">
        <f t="shared" ref="W39:AG39" si="60">(W34)</f>
        <v>6.4329999999999998</v>
      </c>
      <c r="X39" s="303">
        <f t="shared" si="60"/>
        <v>8.2370000000000001</v>
      </c>
      <c r="Y39" s="303">
        <f t="shared" si="60"/>
        <v>6.0819999999999999</v>
      </c>
      <c r="Z39" s="303">
        <f t="shared" si="60"/>
        <v>5.2939999999999996</v>
      </c>
      <c r="AA39" s="303">
        <f t="shared" si="60"/>
        <v>5.7380000000000004</v>
      </c>
      <c r="AB39" s="303">
        <f t="shared" si="60"/>
        <v>4.3499999999999996</v>
      </c>
      <c r="AC39" s="303">
        <f t="shared" si="60"/>
        <v>0</v>
      </c>
      <c r="AD39" s="303">
        <f t="shared" si="60"/>
        <v>0</v>
      </c>
      <c r="AE39" s="303">
        <f t="shared" si="60"/>
        <v>0</v>
      </c>
      <c r="AF39" s="303">
        <f t="shared" si="60"/>
        <v>0</v>
      </c>
      <c r="AG39" s="303">
        <f t="shared" si="60"/>
        <v>0</v>
      </c>
      <c r="AH39" s="800"/>
      <c r="AI39" s="197" t="s">
        <v>398</v>
      </c>
      <c r="AJ39" s="807">
        <f>SUM(AK39:AQ39)</f>
        <v>2205.8873999999996</v>
      </c>
      <c r="AK39" s="303">
        <f>(AK34)</f>
        <v>145.62</v>
      </c>
      <c r="AL39" s="303">
        <f t="shared" ref="AL39:AV39" si="61">(AL34)</f>
        <v>326.8</v>
      </c>
      <c r="AM39" s="303">
        <f t="shared" si="61"/>
        <v>98.1</v>
      </c>
      <c r="AN39" s="303">
        <f t="shared" si="61"/>
        <v>304.6146</v>
      </c>
      <c r="AO39" s="303">
        <f t="shared" si="61"/>
        <v>222.76279999999997</v>
      </c>
      <c r="AP39" s="303">
        <f t="shared" si="61"/>
        <v>406.59</v>
      </c>
      <c r="AQ39" s="303">
        <f t="shared" si="61"/>
        <v>701.4</v>
      </c>
      <c r="AR39" s="303">
        <f t="shared" si="61"/>
        <v>0</v>
      </c>
      <c r="AS39" s="303">
        <f t="shared" si="61"/>
        <v>0</v>
      </c>
      <c r="AT39" s="303">
        <f t="shared" si="61"/>
        <v>0</v>
      </c>
      <c r="AU39" s="303">
        <f t="shared" si="61"/>
        <v>0</v>
      </c>
      <c r="AV39" s="303">
        <f t="shared" si="61"/>
        <v>0</v>
      </c>
      <c r="AW39" s="800"/>
      <c r="AX39" s="197" t="s">
        <v>398</v>
      </c>
      <c r="AY39" s="807">
        <f>SUM(AZ39:BF39)</f>
        <v>929700</v>
      </c>
      <c r="AZ39" s="411">
        <f>(AZ34)</f>
        <v>236400</v>
      </c>
      <c r="BA39" s="411">
        <f t="shared" ref="BA39:BK39" si="62">(BA34)</f>
        <v>3100</v>
      </c>
      <c r="BB39" s="411">
        <f t="shared" si="62"/>
        <v>70000</v>
      </c>
      <c r="BC39" s="411">
        <f t="shared" si="62"/>
        <v>91000</v>
      </c>
      <c r="BD39" s="411">
        <f t="shared" si="62"/>
        <v>328000</v>
      </c>
      <c r="BE39" s="411">
        <f t="shared" si="62"/>
        <v>41000</v>
      </c>
      <c r="BF39" s="411">
        <f>(BF34)</f>
        <v>160200</v>
      </c>
      <c r="BG39" s="303">
        <f t="shared" si="62"/>
        <v>0</v>
      </c>
      <c r="BH39" s="303">
        <f t="shared" si="62"/>
        <v>0</v>
      </c>
      <c r="BI39" s="303">
        <f t="shared" si="62"/>
        <v>0</v>
      </c>
      <c r="BJ39" s="303">
        <f t="shared" si="62"/>
        <v>0</v>
      </c>
      <c r="BK39" s="303">
        <f t="shared" si="62"/>
        <v>0</v>
      </c>
      <c r="BL39" s="800"/>
      <c r="BM39" s="197" t="s">
        <v>398</v>
      </c>
      <c r="BN39" s="807">
        <f>SUM(BO39:BT39)</f>
        <v>14340</v>
      </c>
      <c r="BO39" s="303">
        <f>(BO34)</f>
        <v>1000</v>
      </c>
      <c r="BP39" s="303">
        <f t="shared" ref="BP39:BZ39" si="63">(BP34)</f>
        <v>2200</v>
      </c>
      <c r="BQ39" s="303">
        <f t="shared" si="63"/>
        <v>3200</v>
      </c>
      <c r="BR39" s="303">
        <f t="shared" si="63"/>
        <v>2600</v>
      </c>
      <c r="BS39" s="303">
        <f t="shared" si="63"/>
        <v>1940</v>
      </c>
      <c r="BT39" s="303">
        <f t="shared" si="63"/>
        <v>3400</v>
      </c>
      <c r="BU39" s="303">
        <f t="shared" si="63"/>
        <v>0</v>
      </c>
      <c r="BV39" s="303">
        <f t="shared" si="63"/>
        <v>0</v>
      </c>
      <c r="BW39" s="303">
        <f t="shared" si="63"/>
        <v>0</v>
      </c>
      <c r="BX39" s="303">
        <f t="shared" si="63"/>
        <v>0</v>
      </c>
      <c r="BY39" s="303">
        <f t="shared" si="63"/>
        <v>0</v>
      </c>
      <c r="BZ39" s="303">
        <f t="shared" si="63"/>
        <v>0</v>
      </c>
      <c r="CA39" s="800"/>
    </row>
    <row r="40" spans="2:79" ht="15.75" thickBot="1">
      <c r="B40" s="293" t="s">
        <v>399</v>
      </c>
      <c r="C40" s="794">
        <f>AVERAGE(U40,AJ40,AY40,BN40)</f>
        <v>3260.0187508310573</v>
      </c>
      <c r="D40" s="796"/>
      <c r="E40" s="293" t="s">
        <v>399</v>
      </c>
      <c r="F40" s="851">
        <f>AVERAGE(G40:R40)</f>
        <v>20.495758831502862</v>
      </c>
      <c r="G40" s="836">
        <f>+G38/G39</f>
        <v>22.910594505693116</v>
      </c>
      <c r="H40" s="836">
        <f t="shared" ref="H40:R40" si="64">+H38/H39</f>
        <v>21.318490234097897</v>
      </c>
      <c r="I40" s="836">
        <f>+I38/I39</f>
        <v>25.254741340565673</v>
      </c>
      <c r="J40" s="836">
        <f t="shared" si="64"/>
        <v>14.373902658855341</v>
      </c>
      <c r="K40" s="836">
        <f t="shared" si="64"/>
        <v>20.306183874665646</v>
      </c>
      <c r="L40" s="836">
        <f t="shared" si="64"/>
        <v>41.435607215007209</v>
      </c>
      <c r="M40" s="836">
        <f t="shared" si="64"/>
        <v>27.442719741422184</v>
      </c>
      <c r="N40" s="836">
        <f t="shared" si="64"/>
        <v>22.762097850259451</v>
      </c>
      <c r="O40" s="836">
        <f t="shared" si="64"/>
        <v>16.477302560403896</v>
      </c>
      <c r="P40" s="836">
        <f t="shared" si="64"/>
        <v>16.911391634339687</v>
      </c>
      <c r="Q40" s="836">
        <f t="shared" si="64"/>
        <v>4.3761171366594356</v>
      </c>
      <c r="R40" s="836">
        <f t="shared" si="64"/>
        <v>12.379957226064798</v>
      </c>
      <c r="S40" s="802"/>
      <c r="T40" s="293" t="s">
        <v>399</v>
      </c>
      <c r="U40" s="835">
        <f>AVERAGE(V40:AB40)</f>
        <v>12627.636447122672</v>
      </c>
      <c r="V40" s="836">
        <f>+V38/V39</f>
        <v>14217.390120575652</v>
      </c>
      <c r="W40" s="836">
        <f>+W38/W39</f>
        <v>10553.458352246231</v>
      </c>
      <c r="X40" s="836">
        <f>+X38/X39</f>
        <v>9732.8685941483564</v>
      </c>
      <c r="Y40" s="836">
        <f t="shared" ref="Y40:AG40" si="65">+Y38/Y39</f>
        <v>12637.92502466294</v>
      </c>
      <c r="Z40" s="836">
        <f t="shared" si="65"/>
        <v>13342.782395164339</v>
      </c>
      <c r="AA40" s="836">
        <f t="shared" si="65"/>
        <v>12937.688114325549</v>
      </c>
      <c r="AB40" s="836">
        <f t="shared" si="65"/>
        <v>14971.342528735633</v>
      </c>
      <c r="AC40" s="836" t="e">
        <f t="shared" si="65"/>
        <v>#DIV/0!</v>
      </c>
      <c r="AD40" s="836" t="e">
        <f t="shared" si="65"/>
        <v>#DIV/0!</v>
      </c>
      <c r="AE40" s="836" t="e">
        <f t="shared" si="65"/>
        <v>#DIV/0!</v>
      </c>
      <c r="AF40" s="836" t="e">
        <f t="shared" si="65"/>
        <v>#DIV/0!</v>
      </c>
      <c r="AG40" s="836" t="e">
        <f t="shared" si="65"/>
        <v>#DIV/0!</v>
      </c>
      <c r="AH40" s="802"/>
      <c r="AI40" s="293" t="s">
        <v>399</v>
      </c>
      <c r="AJ40" s="835">
        <f>AVERAGE(AK40:AQ40)</f>
        <v>188.7962975913052</v>
      </c>
      <c r="AK40" s="836">
        <f>+AK38/AK39</f>
        <v>230.53426727097926</v>
      </c>
      <c r="AL40" s="836">
        <f>+AL38/AL39</f>
        <v>121.64618635250918</v>
      </c>
      <c r="AM40" s="836">
        <f>+AM38/AM39</f>
        <v>501.68619174311931</v>
      </c>
      <c r="AN40" s="836">
        <f t="shared" ref="AN40:AV40" si="66">+AN38/AN39</f>
        <v>115.10259193091859</v>
      </c>
      <c r="AO40" s="836">
        <f t="shared" si="66"/>
        <v>189.44294110147655</v>
      </c>
      <c r="AP40" s="836">
        <f t="shared" si="66"/>
        <v>94.335030374578821</v>
      </c>
      <c r="AQ40" s="836">
        <f t="shared" si="66"/>
        <v>68.826874365554616</v>
      </c>
      <c r="AR40" s="836" t="e">
        <f t="shared" si="66"/>
        <v>#DIV/0!</v>
      </c>
      <c r="AS40" s="836" t="e">
        <f t="shared" si="66"/>
        <v>#DIV/0!</v>
      </c>
      <c r="AT40" s="836" t="e">
        <f t="shared" si="66"/>
        <v>#DIV/0!</v>
      </c>
      <c r="AU40" s="836" t="e">
        <f t="shared" si="66"/>
        <v>#DIV/0!</v>
      </c>
      <c r="AV40" s="836" t="e">
        <f t="shared" si="66"/>
        <v>#DIV/0!</v>
      </c>
      <c r="AW40" s="802"/>
      <c r="AX40" s="293" t="s">
        <v>399</v>
      </c>
      <c r="AY40" s="835">
        <f>AVERAGE(AZ40:BF40)</f>
        <v>9.3977061628678307</v>
      </c>
      <c r="AZ40" s="836">
        <f>+AZ38/AZ39</f>
        <v>0.79747251472484082</v>
      </c>
      <c r="BA40" s="836">
        <f t="shared" ref="BA40:BK40" si="67">+BA38/BA39</f>
        <v>47.776909677419361</v>
      </c>
      <c r="BB40" s="836">
        <f t="shared" si="67"/>
        <v>6.3334428571428578</v>
      </c>
      <c r="BC40" s="836">
        <f t="shared" si="67"/>
        <v>4.3282246153846158</v>
      </c>
      <c r="BD40" s="836">
        <f t="shared" si="67"/>
        <v>0.95628804878048779</v>
      </c>
      <c r="BE40" s="836">
        <f t="shared" si="67"/>
        <v>4.7912982926829271</v>
      </c>
      <c r="BF40" s="836">
        <f t="shared" si="67"/>
        <v>0.80030713393971831</v>
      </c>
      <c r="BG40" s="836" t="e">
        <f t="shared" si="67"/>
        <v>#DIV/0!</v>
      </c>
      <c r="BH40" s="836" t="e">
        <f t="shared" si="67"/>
        <v>#DIV/0!</v>
      </c>
      <c r="BI40" s="836" t="e">
        <f t="shared" si="67"/>
        <v>#DIV/0!</v>
      </c>
      <c r="BJ40" s="836" t="e">
        <f t="shared" si="67"/>
        <v>#DIV/0!</v>
      </c>
      <c r="BK40" s="836" t="e">
        <f t="shared" si="67"/>
        <v>#DIV/0!</v>
      </c>
      <c r="BL40" s="802"/>
      <c r="BM40" s="293" t="s">
        <v>399</v>
      </c>
      <c r="BN40" s="835">
        <f>AVERAGE(BO40:BT40)</f>
        <v>214.2445524473836</v>
      </c>
      <c r="BO40" s="836">
        <f>+BO38/BO39</f>
        <v>271.290788270083</v>
      </c>
      <c r="BP40" s="836">
        <f t="shared" ref="BP40:BZ40" si="68">+BP38/BP39</f>
        <v>227.31623018181818</v>
      </c>
      <c r="BQ40" s="836">
        <f t="shared" si="68"/>
        <v>229.46306467812497</v>
      </c>
      <c r="BR40" s="836">
        <f t="shared" si="68"/>
        <v>228.93132499999999</v>
      </c>
      <c r="BS40" s="836">
        <f t="shared" si="68"/>
        <v>189.81439690721649</v>
      </c>
      <c r="BT40" s="836">
        <f t="shared" si="68"/>
        <v>138.65150964705882</v>
      </c>
      <c r="BU40" s="836" t="e">
        <f t="shared" si="68"/>
        <v>#DIV/0!</v>
      </c>
      <c r="BV40" s="836" t="e">
        <f t="shared" si="68"/>
        <v>#DIV/0!</v>
      </c>
      <c r="BW40" s="836" t="e">
        <f t="shared" si="68"/>
        <v>#DIV/0!</v>
      </c>
      <c r="BX40" s="836" t="e">
        <f t="shared" si="68"/>
        <v>#DIV/0!</v>
      </c>
      <c r="BY40" s="836" t="e">
        <f t="shared" si="68"/>
        <v>#DIV/0!</v>
      </c>
      <c r="BZ40" s="836" t="e">
        <f t="shared" si="68"/>
        <v>#DIV/0!</v>
      </c>
      <c r="CA40" s="802"/>
    </row>
    <row r="41" spans="2:79" ht="15.75" thickTop="1">
      <c r="S41" s="800"/>
      <c r="AH41" s="800"/>
      <c r="AW41" s="800"/>
      <c r="BL41" s="800"/>
      <c r="CA41" s="800"/>
    </row>
    <row r="42" spans="2:79">
      <c r="C42" s="791">
        <f>+C4</f>
        <v>2023</v>
      </c>
      <c r="F42" s="292">
        <f t="shared" ref="F42:R42" si="69">+F4</f>
        <v>2022</v>
      </c>
      <c r="G42" s="297" t="str">
        <f t="shared" si="69"/>
        <v>Enero</v>
      </c>
      <c r="H42" s="297" t="str">
        <f t="shared" si="69"/>
        <v>Febrero</v>
      </c>
      <c r="I42" s="297" t="str">
        <f t="shared" si="69"/>
        <v xml:space="preserve">Marzo  </v>
      </c>
      <c r="J42" s="297" t="str">
        <f t="shared" si="69"/>
        <v>Abril</v>
      </c>
      <c r="K42" s="297" t="str">
        <f t="shared" si="69"/>
        <v>Mayo</v>
      </c>
      <c r="L42" s="297" t="str">
        <f t="shared" si="69"/>
        <v>Junio</v>
      </c>
      <c r="M42" s="297" t="str">
        <f t="shared" si="69"/>
        <v>Julio</v>
      </c>
      <c r="N42" s="297" t="str">
        <f t="shared" si="69"/>
        <v>Agosto</v>
      </c>
      <c r="O42" s="297" t="str">
        <f t="shared" si="69"/>
        <v>Septiembre</v>
      </c>
      <c r="P42" s="297" t="str">
        <f t="shared" si="69"/>
        <v>Octubre</v>
      </c>
      <c r="Q42" s="297" t="str">
        <f t="shared" si="69"/>
        <v>Noviembre</v>
      </c>
      <c r="R42" s="297" t="str">
        <f t="shared" si="69"/>
        <v>Diciembre</v>
      </c>
      <c r="S42" s="800"/>
      <c r="U42" s="803">
        <f t="shared" ref="U42:AG42" si="70">+U4</f>
        <v>2023</v>
      </c>
      <c r="V42" s="297" t="str">
        <f t="shared" si="70"/>
        <v>Enero</v>
      </c>
      <c r="W42" s="297" t="str">
        <f t="shared" si="70"/>
        <v>Febrero</v>
      </c>
      <c r="X42" s="297" t="str">
        <f t="shared" si="70"/>
        <v xml:space="preserve">Marzo  </v>
      </c>
      <c r="Y42" s="297" t="str">
        <f t="shared" si="70"/>
        <v>Abril</v>
      </c>
      <c r="Z42" s="297" t="str">
        <f t="shared" si="70"/>
        <v>Mayo</v>
      </c>
      <c r="AA42" s="297" t="str">
        <f t="shared" si="70"/>
        <v>Junio</v>
      </c>
      <c r="AB42" s="297" t="str">
        <f t="shared" si="70"/>
        <v>Julio</v>
      </c>
      <c r="AC42" s="297" t="str">
        <f t="shared" si="70"/>
        <v>Agosto</v>
      </c>
      <c r="AD42" s="297" t="str">
        <f t="shared" si="70"/>
        <v>Septiembre</v>
      </c>
      <c r="AE42" s="297" t="str">
        <f t="shared" si="70"/>
        <v>Octubre</v>
      </c>
      <c r="AF42" s="297" t="str">
        <f t="shared" si="70"/>
        <v>Noviembre</v>
      </c>
      <c r="AG42" s="297" t="str">
        <f t="shared" si="70"/>
        <v>Diciembre</v>
      </c>
      <c r="AH42" s="800"/>
      <c r="AJ42" s="803">
        <f t="shared" ref="AJ42:AV42" si="71">+AJ4</f>
        <v>2023</v>
      </c>
      <c r="AK42" s="297" t="str">
        <f t="shared" si="71"/>
        <v>Enero</v>
      </c>
      <c r="AL42" s="297" t="str">
        <f t="shared" si="71"/>
        <v>Febrero</v>
      </c>
      <c r="AM42" s="297" t="str">
        <f t="shared" si="71"/>
        <v xml:space="preserve">Marzo  </v>
      </c>
      <c r="AN42" s="297" t="str">
        <f t="shared" si="71"/>
        <v>Abril</v>
      </c>
      <c r="AO42" s="297" t="str">
        <f t="shared" si="71"/>
        <v>Mayo</v>
      </c>
      <c r="AP42" s="297" t="str">
        <f t="shared" si="71"/>
        <v>Junio</v>
      </c>
      <c r="AQ42" s="297" t="str">
        <f t="shared" si="71"/>
        <v>Julio</v>
      </c>
      <c r="AR42" s="297" t="str">
        <f t="shared" si="71"/>
        <v>Agosto</v>
      </c>
      <c r="AS42" s="297" t="str">
        <f t="shared" si="71"/>
        <v>Septiembre</v>
      </c>
      <c r="AT42" s="297" t="str">
        <f t="shared" si="71"/>
        <v>Octubre</v>
      </c>
      <c r="AU42" s="297" t="str">
        <f t="shared" si="71"/>
        <v>Noviembre</v>
      </c>
      <c r="AV42" s="297" t="str">
        <f t="shared" si="71"/>
        <v>Diciembre</v>
      </c>
      <c r="AW42" s="800"/>
      <c r="AY42" s="803">
        <f t="shared" ref="AY42:BK42" si="72">+AY4</f>
        <v>2023</v>
      </c>
      <c r="AZ42" s="297" t="str">
        <f t="shared" si="72"/>
        <v>Enero</v>
      </c>
      <c r="BA42" s="297" t="str">
        <f t="shared" si="72"/>
        <v>Febrero</v>
      </c>
      <c r="BB42" s="297" t="str">
        <f t="shared" si="72"/>
        <v xml:space="preserve">Marzo  </v>
      </c>
      <c r="BC42" s="297" t="str">
        <f t="shared" si="72"/>
        <v>Abril</v>
      </c>
      <c r="BD42" s="297" t="str">
        <f t="shared" si="72"/>
        <v>Mayo</v>
      </c>
      <c r="BE42" s="297" t="str">
        <f t="shared" si="72"/>
        <v>Junio</v>
      </c>
      <c r="BF42" s="297" t="str">
        <f t="shared" si="72"/>
        <v>Julio</v>
      </c>
      <c r="BG42" s="297" t="str">
        <f t="shared" si="72"/>
        <v>Agosto</v>
      </c>
      <c r="BH42" s="297" t="str">
        <f t="shared" si="72"/>
        <v>Septiembre</v>
      </c>
      <c r="BI42" s="297" t="str">
        <f t="shared" si="72"/>
        <v>Octubre</v>
      </c>
      <c r="BJ42" s="297" t="str">
        <f t="shared" si="72"/>
        <v>Noviembre</v>
      </c>
      <c r="BK42" s="297" t="str">
        <f t="shared" si="72"/>
        <v>Diciembre</v>
      </c>
      <c r="BL42" s="800"/>
      <c r="BN42" s="803">
        <f t="shared" ref="BN42:BZ42" si="73">+BN4</f>
        <v>2023</v>
      </c>
      <c r="BO42" s="297" t="str">
        <f t="shared" si="73"/>
        <v>Enero</v>
      </c>
      <c r="BP42" s="297" t="str">
        <f t="shared" si="73"/>
        <v>Febrero</v>
      </c>
      <c r="BQ42" s="297" t="str">
        <f t="shared" si="73"/>
        <v xml:space="preserve">Marzo  </v>
      </c>
      <c r="BR42" s="297" t="str">
        <f t="shared" si="73"/>
        <v>Abril</v>
      </c>
      <c r="BS42" s="297" t="str">
        <f t="shared" si="73"/>
        <v>Mayo</v>
      </c>
      <c r="BT42" s="297" t="str">
        <f t="shared" si="73"/>
        <v>Junio</v>
      </c>
      <c r="BU42" s="297" t="str">
        <f t="shared" si="73"/>
        <v>Julio</v>
      </c>
      <c r="BV42" s="297" t="str">
        <f t="shared" si="73"/>
        <v>Agosto</v>
      </c>
      <c r="BW42" s="297" t="str">
        <f t="shared" si="73"/>
        <v>Septiembre</v>
      </c>
      <c r="BX42" s="297" t="str">
        <f t="shared" si="73"/>
        <v>Octubre</v>
      </c>
      <c r="BY42" s="297" t="str">
        <f t="shared" si="73"/>
        <v>Noviembre</v>
      </c>
      <c r="BZ42" s="297" t="str">
        <f t="shared" si="73"/>
        <v>Diciembre</v>
      </c>
      <c r="CA42" s="800"/>
    </row>
    <row r="43" spans="2:79">
      <c r="B43" s="197" t="s">
        <v>416</v>
      </c>
      <c r="C43" s="792">
        <f>(U43+AJ43+AY43+BN43)</f>
        <v>883736.20695999998</v>
      </c>
      <c r="E43" s="197" t="s">
        <v>416</v>
      </c>
      <c r="F43" s="844" t="e">
        <f>SUM(G43:J43)</f>
        <v>#REF!</v>
      </c>
      <c r="G43" s="834" t="e">
        <f>+G12</f>
        <v>#REF!</v>
      </c>
      <c r="H43" s="834" t="e">
        <f t="shared" ref="H43:R43" si="74">+H12</f>
        <v>#REF!</v>
      </c>
      <c r="I43" s="834" t="e">
        <f t="shared" si="74"/>
        <v>#REF!</v>
      </c>
      <c r="J43" s="834" t="e">
        <f t="shared" si="74"/>
        <v>#REF!</v>
      </c>
      <c r="K43" s="834" t="e">
        <f t="shared" si="74"/>
        <v>#REF!</v>
      </c>
      <c r="L43" s="834" t="e">
        <f t="shared" si="74"/>
        <v>#REF!</v>
      </c>
      <c r="M43" s="834" t="e">
        <f t="shared" si="74"/>
        <v>#REF!</v>
      </c>
      <c r="N43" s="834" t="e">
        <f t="shared" si="74"/>
        <v>#REF!</v>
      </c>
      <c r="O43" s="834" t="e">
        <f t="shared" si="74"/>
        <v>#REF!</v>
      </c>
      <c r="P43" s="834" t="e">
        <f t="shared" si="74"/>
        <v>#REF!</v>
      </c>
      <c r="Q43" s="834" t="e">
        <f t="shared" si="74"/>
        <v>#REF!</v>
      </c>
      <c r="R43" s="834" t="e">
        <f t="shared" si="74"/>
        <v>#REF!</v>
      </c>
      <c r="S43" s="800"/>
      <c r="T43" s="197" t="s">
        <v>416</v>
      </c>
      <c r="U43" s="833">
        <f>SUM(V43:AB43)</f>
        <v>267392.08900000004</v>
      </c>
      <c r="V43" s="834">
        <f>+V12</f>
        <v>39457.786399999997</v>
      </c>
      <c r="W43" s="834">
        <f t="shared" ref="W43:AG43" si="75">+W12</f>
        <v>31698.296200000001</v>
      </c>
      <c r="X43" s="834">
        <f t="shared" si="75"/>
        <v>39224.072</v>
      </c>
      <c r="Y43" s="834">
        <f t="shared" si="75"/>
        <v>35505.371200000001</v>
      </c>
      <c r="Z43" s="834">
        <f t="shared" si="75"/>
        <v>35467.456400000003</v>
      </c>
      <c r="AA43" s="834">
        <f t="shared" si="75"/>
        <v>35813.166800000006</v>
      </c>
      <c r="AB43" s="834">
        <f t="shared" si="75"/>
        <v>50225.94</v>
      </c>
      <c r="AC43" s="834">
        <f t="shared" si="75"/>
        <v>17341.48</v>
      </c>
      <c r="AD43" s="834">
        <f t="shared" si="75"/>
        <v>17341.48</v>
      </c>
      <c r="AE43" s="834">
        <f t="shared" si="75"/>
        <v>17341.48</v>
      </c>
      <c r="AF43" s="834">
        <f t="shared" si="75"/>
        <v>17341.48</v>
      </c>
      <c r="AG43" s="834">
        <f t="shared" si="75"/>
        <v>17341.48</v>
      </c>
      <c r="AH43" s="800"/>
      <c r="AI43" s="197" t="s">
        <v>416</v>
      </c>
      <c r="AJ43" s="833">
        <f>SUM(AK43:AQ43)</f>
        <v>274293.60556</v>
      </c>
      <c r="AK43" s="834">
        <f>+AK12</f>
        <v>44040.364359999992</v>
      </c>
      <c r="AL43" s="834">
        <f t="shared" ref="AL43:AV43" si="76">+AL12</f>
        <v>32726.588799999998</v>
      </c>
      <c r="AM43" s="834">
        <f t="shared" si="76"/>
        <v>42983.361999999994</v>
      </c>
      <c r="AN43" s="834">
        <f t="shared" si="76"/>
        <v>38038.1368</v>
      </c>
      <c r="AO43" s="834">
        <f t="shared" si="76"/>
        <v>38221.288</v>
      </c>
      <c r="AP43" s="834">
        <f>+AP12</f>
        <v>37854.9856</v>
      </c>
      <c r="AQ43" s="834">
        <f t="shared" si="76"/>
        <v>40428.879999999997</v>
      </c>
      <c r="AR43" s="834">
        <f t="shared" si="76"/>
        <v>17341.48</v>
      </c>
      <c r="AS43" s="834">
        <f t="shared" si="76"/>
        <v>17559.560000000001</v>
      </c>
      <c r="AT43" s="834">
        <f t="shared" si="76"/>
        <v>18164.98</v>
      </c>
      <c r="AU43" s="834">
        <f t="shared" si="76"/>
        <v>17453.48</v>
      </c>
      <c r="AV43" s="834">
        <f t="shared" si="76"/>
        <v>17341.48</v>
      </c>
      <c r="AW43" s="800"/>
      <c r="AX43" s="197" t="s">
        <v>416</v>
      </c>
      <c r="AY43" s="833">
        <f>SUM(AZ43:BF43)</f>
        <v>226828.02779999998</v>
      </c>
      <c r="AZ43" s="834">
        <f>+AZ12</f>
        <v>35318.343000000001</v>
      </c>
      <c r="BA43" s="834">
        <f t="shared" ref="BA43:BK43" si="77">+BA12</f>
        <v>28088.5978</v>
      </c>
      <c r="BB43" s="834">
        <f t="shared" si="77"/>
        <v>34916.275800000003</v>
      </c>
      <c r="BC43" s="834">
        <f t="shared" si="77"/>
        <v>31670.970399999998</v>
      </c>
      <c r="BD43" s="834">
        <f t="shared" si="77"/>
        <v>31670.970399999998</v>
      </c>
      <c r="BE43" s="834">
        <f t="shared" si="77"/>
        <v>31670.970399999998</v>
      </c>
      <c r="BF43" s="834">
        <f t="shared" si="77"/>
        <v>33491.9</v>
      </c>
      <c r="BG43" s="834">
        <f t="shared" si="77"/>
        <v>17341.48</v>
      </c>
      <c r="BH43" s="834">
        <f t="shared" si="77"/>
        <v>17341.48</v>
      </c>
      <c r="BI43" s="834">
        <f t="shared" si="77"/>
        <v>17341.48</v>
      </c>
      <c r="BJ43" s="834">
        <f t="shared" si="77"/>
        <v>17341.48</v>
      </c>
      <c r="BK43" s="834">
        <f t="shared" si="77"/>
        <v>17341.48</v>
      </c>
      <c r="BL43" s="800"/>
      <c r="BM43" s="197" t="s">
        <v>416</v>
      </c>
      <c r="BN43" s="833">
        <f>SUM(BO43:BT43)</f>
        <v>115222.4846</v>
      </c>
      <c r="BO43" s="834">
        <f>+BO12</f>
        <v>18758.529399999999</v>
      </c>
      <c r="BP43" s="834">
        <f t="shared" ref="BP43:BZ43" si="78">+BP12</f>
        <v>18534.6528</v>
      </c>
      <c r="BQ43" s="834">
        <f t="shared" si="78"/>
        <v>19662.070199999998</v>
      </c>
      <c r="BR43" s="834">
        <f t="shared" si="78"/>
        <v>18536.3256</v>
      </c>
      <c r="BS43" s="834">
        <f t="shared" si="78"/>
        <v>18984.0638</v>
      </c>
      <c r="BT43" s="834">
        <f t="shared" si="78"/>
        <v>20746.842799999999</v>
      </c>
      <c r="BU43" s="834">
        <f t="shared" si="78"/>
        <v>18413.48</v>
      </c>
      <c r="BV43" s="834">
        <f t="shared" si="78"/>
        <v>18647.98</v>
      </c>
      <c r="BW43" s="834">
        <f t="shared" si="78"/>
        <v>18755.079999999998</v>
      </c>
      <c r="BX43" s="834">
        <f t="shared" si="78"/>
        <v>26355.08</v>
      </c>
      <c r="BY43" s="834">
        <f t="shared" si="78"/>
        <v>24759.64</v>
      </c>
      <c r="BZ43" s="834">
        <f t="shared" si="78"/>
        <v>17980.48</v>
      </c>
      <c r="CA43" s="800"/>
    </row>
    <row r="44" spans="2:79">
      <c r="B44" s="197" t="s">
        <v>398</v>
      </c>
      <c r="C44" s="795">
        <f>(U44+AJ44+AY44+BN44)</f>
        <v>946287.16339999996</v>
      </c>
      <c r="E44" s="197" t="s">
        <v>398</v>
      </c>
      <c r="F44" s="298">
        <f>SUM(G44:J44)</f>
        <v>21581</v>
      </c>
      <c r="G44" s="299">
        <f>(G34)</f>
        <v>5533</v>
      </c>
      <c r="H44" s="299">
        <f t="shared" ref="H44:R44" si="79">(H34)</f>
        <v>4229</v>
      </c>
      <c r="I44" s="299">
        <f t="shared" si="79"/>
        <v>5162</v>
      </c>
      <c r="J44" s="299">
        <f t="shared" si="79"/>
        <v>6657</v>
      </c>
      <c r="K44" s="299">
        <f t="shared" si="79"/>
        <v>5234</v>
      </c>
      <c r="L44" s="299">
        <f t="shared" si="79"/>
        <v>3465</v>
      </c>
      <c r="M44" s="299">
        <f t="shared" si="79"/>
        <v>4022</v>
      </c>
      <c r="N44" s="299">
        <f t="shared" si="79"/>
        <v>5396</v>
      </c>
      <c r="O44" s="299">
        <f t="shared" si="79"/>
        <v>5546</v>
      </c>
      <c r="P44" s="299">
        <f t="shared" si="79"/>
        <v>5929</v>
      </c>
      <c r="Q44" s="299">
        <f t="shared" si="79"/>
        <v>6454</v>
      </c>
      <c r="R44" s="299">
        <f t="shared" si="79"/>
        <v>5494</v>
      </c>
      <c r="S44" s="800"/>
      <c r="T44" s="197" t="s">
        <v>398</v>
      </c>
      <c r="U44" s="807">
        <f>SUM(V44:AB44)</f>
        <v>41.276000000000003</v>
      </c>
      <c r="V44" s="303">
        <f>(V34)</f>
        <v>5.1420000000000003</v>
      </c>
      <c r="W44" s="303">
        <f t="shared" ref="W44:AG44" si="80">(W34)</f>
        <v>6.4329999999999998</v>
      </c>
      <c r="X44" s="303">
        <f t="shared" si="80"/>
        <v>8.2370000000000001</v>
      </c>
      <c r="Y44" s="303">
        <f t="shared" si="80"/>
        <v>6.0819999999999999</v>
      </c>
      <c r="Z44" s="303">
        <f t="shared" si="80"/>
        <v>5.2939999999999996</v>
      </c>
      <c r="AA44" s="303">
        <f t="shared" si="80"/>
        <v>5.7380000000000004</v>
      </c>
      <c r="AB44" s="303">
        <f t="shared" si="80"/>
        <v>4.3499999999999996</v>
      </c>
      <c r="AC44" s="303">
        <f t="shared" si="80"/>
        <v>0</v>
      </c>
      <c r="AD44" s="303">
        <f t="shared" si="80"/>
        <v>0</v>
      </c>
      <c r="AE44" s="303">
        <f t="shared" si="80"/>
        <v>0</v>
      </c>
      <c r="AF44" s="303">
        <f t="shared" si="80"/>
        <v>0</v>
      </c>
      <c r="AG44" s="303">
        <f t="shared" si="80"/>
        <v>0</v>
      </c>
      <c r="AH44" s="800"/>
      <c r="AI44" s="197" t="s">
        <v>398</v>
      </c>
      <c r="AJ44" s="807">
        <f>SUM(AK44:AQ44)</f>
        <v>2205.8873999999996</v>
      </c>
      <c r="AK44" s="303">
        <f>(AK34)</f>
        <v>145.62</v>
      </c>
      <c r="AL44" s="303">
        <f t="shared" ref="AL44:AV44" si="81">(AL34)</f>
        <v>326.8</v>
      </c>
      <c r="AM44" s="303">
        <f t="shared" si="81"/>
        <v>98.1</v>
      </c>
      <c r="AN44" s="303">
        <f t="shared" si="81"/>
        <v>304.6146</v>
      </c>
      <c r="AO44" s="303">
        <f t="shared" si="81"/>
        <v>222.76279999999997</v>
      </c>
      <c r="AP44" s="303">
        <f>(AP34)</f>
        <v>406.59</v>
      </c>
      <c r="AQ44" s="303">
        <f t="shared" si="81"/>
        <v>701.4</v>
      </c>
      <c r="AR44" s="303">
        <f t="shared" si="81"/>
        <v>0</v>
      </c>
      <c r="AS44" s="303">
        <f t="shared" si="81"/>
        <v>0</v>
      </c>
      <c r="AT44" s="303">
        <f t="shared" si="81"/>
        <v>0</v>
      </c>
      <c r="AU44" s="303">
        <f t="shared" si="81"/>
        <v>0</v>
      </c>
      <c r="AV44" s="303">
        <f t="shared" si="81"/>
        <v>0</v>
      </c>
      <c r="AW44" s="800"/>
      <c r="AX44" s="197" t="s">
        <v>398</v>
      </c>
      <c r="AY44" s="807">
        <f>SUM(AZ44:BF44)</f>
        <v>929700</v>
      </c>
      <c r="AZ44" s="303">
        <f>(AZ34)</f>
        <v>236400</v>
      </c>
      <c r="BA44" s="303">
        <f t="shared" ref="BA44:BK44" si="82">(BA34)</f>
        <v>3100</v>
      </c>
      <c r="BB44" s="303">
        <f t="shared" si="82"/>
        <v>70000</v>
      </c>
      <c r="BC44" s="303">
        <f t="shared" si="82"/>
        <v>91000</v>
      </c>
      <c r="BD44" s="303">
        <f t="shared" si="82"/>
        <v>328000</v>
      </c>
      <c r="BE44" s="303">
        <f t="shared" si="82"/>
        <v>41000</v>
      </c>
      <c r="BF44" s="303">
        <f t="shared" si="82"/>
        <v>160200</v>
      </c>
      <c r="BG44" s="303">
        <f t="shared" si="82"/>
        <v>0</v>
      </c>
      <c r="BH44" s="303">
        <f t="shared" si="82"/>
        <v>0</v>
      </c>
      <c r="BI44" s="303">
        <f t="shared" si="82"/>
        <v>0</v>
      </c>
      <c r="BJ44" s="303">
        <f t="shared" si="82"/>
        <v>0</v>
      </c>
      <c r="BK44" s="303">
        <f t="shared" si="82"/>
        <v>0</v>
      </c>
      <c r="BL44" s="800"/>
      <c r="BM44" s="197" t="s">
        <v>398</v>
      </c>
      <c r="BN44" s="807">
        <f>SUM(BO44:BT44)</f>
        <v>14340</v>
      </c>
      <c r="BO44" s="303">
        <f>(BO34)</f>
        <v>1000</v>
      </c>
      <c r="BP44" s="303">
        <f t="shared" ref="BP44:BZ44" si="83">(BP34)</f>
        <v>2200</v>
      </c>
      <c r="BQ44" s="303">
        <f t="shared" si="83"/>
        <v>3200</v>
      </c>
      <c r="BR44" s="303">
        <f t="shared" si="83"/>
        <v>2600</v>
      </c>
      <c r="BS44" s="303">
        <f t="shared" si="83"/>
        <v>1940</v>
      </c>
      <c r="BT44" s="303">
        <f t="shared" si="83"/>
        <v>3400</v>
      </c>
      <c r="BU44" s="303">
        <f t="shared" si="83"/>
        <v>0</v>
      </c>
      <c r="BV44" s="303">
        <f t="shared" si="83"/>
        <v>0</v>
      </c>
      <c r="BW44" s="303">
        <f t="shared" si="83"/>
        <v>0</v>
      </c>
      <c r="BX44" s="303">
        <f t="shared" si="83"/>
        <v>0</v>
      </c>
      <c r="BY44" s="303">
        <f t="shared" si="83"/>
        <v>0</v>
      </c>
      <c r="BZ44" s="303">
        <f t="shared" si="83"/>
        <v>0</v>
      </c>
      <c r="CA44" s="800"/>
    </row>
    <row r="45" spans="2:79" ht="15.75" thickBot="1">
      <c r="B45" s="293" t="s">
        <v>399</v>
      </c>
      <c r="C45" s="794">
        <f>AVERAGE(U45,AJ45,AY45,BN45)</f>
        <v>1751.8838150337285</v>
      </c>
      <c r="D45" s="796"/>
      <c r="E45" s="293" t="s">
        <v>399</v>
      </c>
      <c r="F45" s="851" t="e">
        <f>AVERAGE(G45:R45)</f>
        <v>#REF!</v>
      </c>
      <c r="G45" s="836" t="e">
        <f>+G43/G44</f>
        <v>#REF!</v>
      </c>
      <c r="H45" s="836" t="e">
        <f>+H43/H44</f>
        <v>#REF!</v>
      </c>
      <c r="I45" s="836" t="e">
        <f t="shared" ref="I45:R45" si="84">+I43/I44</f>
        <v>#REF!</v>
      </c>
      <c r="J45" s="836" t="e">
        <f t="shared" si="84"/>
        <v>#REF!</v>
      </c>
      <c r="K45" s="836" t="e">
        <f t="shared" si="84"/>
        <v>#REF!</v>
      </c>
      <c r="L45" s="836" t="e">
        <f t="shared" si="84"/>
        <v>#REF!</v>
      </c>
      <c r="M45" s="836" t="e">
        <f t="shared" si="84"/>
        <v>#REF!</v>
      </c>
      <c r="N45" s="836" t="e">
        <f t="shared" si="84"/>
        <v>#REF!</v>
      </c>
      <c r="O45" s="836" t="e">
        <f t="shared" si="84"/>
        <v>#REF!</v>
      </c>
      <c r="P45" s="836" t="e">
        <f t="shared" si="84"/>
        <v>#REF!</v>
      </c>
      <c r="Q45" s="836" t="e">
        <f t="shared" si="84"/>
        <v>#REF!</v>
      </c>
      <c r="R45" s="836" t="e">
        <f t="shared" si="84"/>
        <v>#REF!</v>
      </c>
      <c r="S45" s="802"/>
      <c r="T45" s="293" t="s">
        <v>399</v>
      </c>
      <c r="U45" s="835">
        <f>AVERAGE(V45:AB45)</f>
        <v>6812.5637431248151</v>
      </c>
      <c r="V45" s="836">
        <f>+V43/V44</f>
        <v>7673.6262932710997</v>
      </c>
      <c r="W45" s="836">
        <f>+W43/W44</f>
        <v>4927.4516088916525</v>
      </c>
      <c r="X45" s="836">
        <f t="shared" ref="X45:AG45" si="85">+X43/X44</f>
        <v>4761.9366274128934</v>
      </c>
      <c r="Y45" s="836">
        <f t="shared" si="85"/>
        <v>5837.7788885235123</v>
      </c>
      <c r="Z45" s="836">
        <f t="shared" si="85"/>
        <v>6699.5573101624495</v>
      </c>
      <c r="AA45" s="836">
        <f t="shared" si="85"/>
        <v>6241.4023701638207</v>
      </c>
      <c r="AB45" s="836">
        <f t="shared" si="85"/>
        <v>11546.193103448277</v>
      </c>
      <c r="AC45" s="836" t="e">
        <f t="shared" si="85"/>
        <v>#DIV/0!</v>
      </c>
      <c r="AD45" s="836" t="e">
        <f t="shared" si="85"/>
        <v>#DIV/0!</v>
      </c>
      <c r="AE45" s="836" t="e">
        <f t="shared" si="85"/>
        <v>#DIV/0!</v>
      </c>
      <c r="AF45" s="836" t="e">
        <f t="shared" si="85"/>
        <v>#DIV/0!</v>
      </c>
      <c r="AG45" s="836" t="e">
        <f t="shared" si="85"/>
        <v>#DIV/0!</v>
      </c>
      <c r="AH45" s="802"/>
      <c r="AI45" s="293" t="s">
        <v>399</v>
      </c>
      <c r="AJ45" s="835">
        <f>AVERAGE(AK45:AQ45)</f>
        <v>183.98999051916584</v>
      </c>
      <c r="AK45" s="836">
        <f>+AK43/AK44</f>
        <v>302.43348688366979</v>
      </c>
      <c r="AL45" s="836">
        <f>+AL43/AL44</f>
        <v>100.14256058751529</v>
      </c>
      <c r="AM45" s="836">
        <f t="shared" ref="AM45:AV45" si="86">+AM43/AM44</f>
        <v>438.15863404689088</v>
      </c>
      <c r="AN45" s="836">
        <f t="shared" si="86"/>
        <v>124.87299295568893</v>
      </c>
      <c r="AO45" s="836">
        <f t="shared" si="86"/>
        <v>171.57841434925402</v>
      </c>
      <c r="AP45" s="836">
        <f t="shared" si="86"/>
        <v>93.103582478664009</v>
      </c>
      <c r="AQ45" s="836">
        <f t="shared" si="86"/>
        <v>57.640262332477903</v>
      </c>
      <c r="AR45" s="836" t="e">
        <f t="shared" si="86"/>
        <v>#DIV/0!</v>
      </c>
      <c r="AS45" s="836" t="e">
        <f t="shared" si="86"/>
        <v>#DIV/0!</v>
      </c>
      <c r="AT45" s="836" t="e">
        <f t="shared" si="86"/>
        <v>#DIV/0!</v>
      </c>
      <c r="AU45" s="836" t="e">
        <f t="shared" si="86"/>
        <v>#DIV/0!</v>
      </c>
      <c r="AV45" s="836" t="e">
        <f t="shared" si="86"/>
        <v>#DIV/0!</v>
      </c>
      <c r="AW45" s="802"/>
      <c r="AX45" s="293" t="s">
        <v>399</v>
      </c>
      <c r="AY45" s="835">
        <f>AVERAGE(AZ45:BF45)</f>
        <v>1.5907369901900668</v>
      </c>
      <c r="AZ45" s="836">
        <f>+AZ43/AZ44</f>
        <v>0.14940077411167513</v>
      </c>
      <c r="BA45" s="836">
        <f t="shared" ref="BA45:BK45" si="87">+BA43/BA44</f>
        <v>9.0608380000000004</v>
      </c>
      <c r="BB45" s="836">
        <f t="shared" si="87"/>
        <v>0.49880394000000006</v>
      </c>
      <c r="BC45" s="836">
        <f t="shared" si="87"/>
        <v>0.34803264175824172</v>
      </c>
      <c r="BD45" s="836">
        <f t="shared" si="87"/>
        <v>9.6557836585365847E-2</v>
      </c>
      <c r="BE45" s="836">
        <f t="shared" si="87"/>
        <v>0.77246269268292678</v>
      </c>
      <c r="BF45" s="836">
        <f t="shared" si="87"/>
        <v>0.20906304619225968</v>
      </c>
      <c r="BG45" s="836" t="e">
        <f t="shared" si="87"/>
        <v>#DIV/0!</v>
      </c>
      <c r="BH45" s="836" t="e">
        <f t="shared" si="87"/>
        <v>#DIV/0!</v>
      </c>
      <c r="BI45" s="836" t="e">
        <f t="shared" si="87"/>
        <v>#DIV/0!</v>
      </c>
      <c r="BJ45" s="836" t="e">
        <f t="shared" si="87"/>
        <v>#DIV/0!</v>
      </c>
      <c r="BK45" s="836" t="e">
        <f t="shared" si="87"/>
        <v>#DIV/0!</v>
      </c>
      <c r="BL45" s="802"/>
      <c r="BM45" s="293" t="s">
        <v>399</v>
      </c>
      <c r="BN45" s="835">
        <f>AVERAGE(BO45:BT45)</f>
        <v>9.3907895007434501</v>
      </c>
      <c r="BO45" s="836">
        <f>+BO43/BO44</f>
        <v>18.7585294</v>
      </c>
      <c r="BP45" s="836">
        <f t="shared" ref="BP45:BZ45" si="88">+BP43/BP44</f>
        <v>8.4248421818181818</v>
      </c>
      <c r="BQ45" s="836">
        <f t="shared" si="88"/>
        <v>6.1443969374999998</v>
      </c>
      <c r="BR45" s="836">
        <f t="shared" si="88"/>
        <v>7.1293560000000005</v>
      </c>
      <c r="BS45" s="836">
        <f t="shared" si="88"/>
        <v>9.7855998969072164</v>
      </c>
      <c r="BT45" s="836">
        <f t="shared" si="88"/>
        <v>6.1020125882352936</v>
      </c>
      <c r="BU45" s="836" t="e">
        <f t="shared" si="88"/>
        <v>#DIV/0!</v>
      </c>
      <c r="BV45" s="836" t="e">
        <f t="shared" si="88"/>
        <v>#DIV/0!</v>
      </c>
      <c r="BW45" s="836" t="e">
        <f t="shared" si="88"/>
        <v>#DIV/0!</v>
      </c>
      <c r="BX45" s="836" t="e">
        <f t="shared" si="88"/>
        <v>#DIV/0!</v>
      </c>
      <c r="BY45" s="836" t="e">
        <f t="shared" si="88"/>
        <v>#DIV/0!</v>
      </c>
      <c r="BZ45" s="836" t="e">
        <f t="shared" si="88"/>
        <v>#DIV/0!</v>
      </c>
      <c r="CA45" s="802"/>
    </row>
    <row r="46" spans="2:79" ht="15.75" thickTop="1">
      <c r="S46" s="800"/>
      <c r="AH46" s="800"/>
      <c r="AW46" s="800"/>
      <c r="BL46" s="800"/>
      <c r="CA46" s="800"/>
    </row>
    <row r="47" spans="2:79">
      <c r="C47" s="791">
        <f>+C4</f>
        <v>2023</v>
      </c>
      <c r="F47" s="292">
        <f t="shared" ref="F47:R47" si="89">+F4</f>
        <v>2022</v>
      </c>
      <c r="G47" s="297" t="str">
        <f t="shared" si="89"/>
        <v>Enero</v>
      </c>
      <c r="H47" s="297" t="str">
        <f t="shared" si="89"/>
        <v>Febrero</v>
      </c>
      <c r="I47" s="297" t="str">
        <f t="shared" si="89"/>
        <v xml:space="preserve">Marzo  </v>
      </c>
      <c r="J47" s="297" t="str">
        <f t="shared" si="89"/>
        <v>Abril</v>
      </c>
      <c r="K47" s="297" t="str">
        <f t="shared" si="89"/>
        <v>Mayo</v>
      </c>
      <c r="L47" s="297" t="str">
        <f t="shared" si="89"/>
        <v>Junio</v>
      </c>
      <c r="M47" s="297" t="str">
        <f t="shared" si="89"/>
        <v>Julio</v>
      </c>
      <c r="N47" s="297" t="str">
        <f t="shared" si="89"/>
        <v>Agosto</v>
      </c>
      <c r="O47" s="297" t="str">
        <f t="shared" si="89"/>
        <v>Septiembre</v>
      </c>
      <c r="P47" s="297" t="str">
        <f t="shared" si="89"/>
        <v>Octubre</v>
      </c>
      <c r="Q47" s="297" t="str">
        <f t="shared" si="89"/>
        <v>Noviembre</v>
      </c>
      <c r="R47" s="297" t="str">
        <f t="shared" si="89"/>
        <v>Diciembre</v>
      </c>
      <c r="S47" s="800"/>
      <c r="U47" s="803">
        <f t="shared" ref="U47:AG47" si="90">+U4</f>
        <v>2023</v>
      </c>
      <c r="V47" s="297" t="str">
        <f t="shared" si="90"/>
        <v>Enero</v>
      </c>
      <c r="W47" s="297" t="str">
        <f t="shared" si="90"/>
        <v>Febrero</v>
      </c>
      <c r="X47" s="297" t="str">
        <f t="shared" si="90"/>
        <v xml:space="preserve">Marzo  </v>
      </c>
      <c r="Y47" s="297" t="str">
        <f t="shared" si="90"/>
        <v>Abril</v>
      </c>
      <c r="Z47" s="297" t="str">
        <f t="shared" si="90"/>
        <v>Mayo</v>
      </c>
      <c r="AA47" s="297" t="str">
        <f t="shared" si="90"/>
        <v>Junio</v>
      </c>
      <c r="AB47" s="297" t="str">
        <f t="shared" si="90"/>
        <v>Julio</v>
      </c>
      <c r="AC47" s="297" t="str">
        <f t="shared" si="90"/>
        <v>Agosto</v>
      </c>
      <c r="AD47" s="297" t="str">
        <f t="shared" si="90"/>
        <v>Septiembre</v>
      </c>
      <c r="AE47" s="297" t="str">
        <f t="shared" si="90"/>
        <v>Octubre</v>
      </c>
      <c r="AF47" s="297" t="str">
        <f t="shared" si="90"/>
        <v>Noviembre</v>
      </c>
      <c r="AG47" s="297" t="str">
        <f t="shared" si="90"/>
        <v>Diciembre</v>
      </c>
      <c r="AH47" s="800"/>
      <c r="AJ47" s="803">
        <f t="shared" ref="AJ47:AV47" si="91">+AJ4</f>
        <v>2023</v>
      </c>
      <c r="AK47" s="297" t="str">
        <f t="shared" si="91"/>
        <v>Enero</v>
      </c>
      <c r="AL47" s="297" t="str">
        <f t="shared" si="91"/>
        <v>Febrero</v>
      </c>
      <c r="AM47" s="297" t="str">
        <f t="shared" si="91"/>
        <v xml:space="preserve">Marzo  </v>
      </c>
      <c r="AN47" s="297" t="str">
        <f t="shared" si="91"/>
        <v>Abril</v>
      </c>
      <c r="AO47" s="297" t="str">
        <f t="shared" si="91"/>
        <v>Mayo</v>
      </c>
      <c r="AP47" s="297" t="str">
        <f t="shared" si="91"/>
        <v>Junio</v>
      </c>
      <c r="AQ47" s="297" t="str">
        <f t="shared" si="91"/>
        <v>Julio</v>
      </c>
      <c r="AR47" s="297" t="str">
        <f t="shared" si="91"/>
        <v>Agosto</v>
      </c>
      <c r="AS47" s="297" t="str">
        <f t="shared" si="91"/>
        <v>Septiembre</v>
      </c>
      <c r="AT47" s="297" t="str">
        <f t="shared" si="91"/>
        <v>Octubre</v>
      </c>
      <c r="AU47" s="297" t="str">
        <f t="shared" si="91"/>
        <v>Noviembre</v>
      </c>
      <c r="AV47" s="297" t="str">
        <f t="shared" si="91"/>
        <v>Diciembre</v>
      </c>
      <c r="AW47" s="800"/>
      <c r="AY47" s="803">
        <f t="shared" ref="AY47:BK47" si="92">+AY4</f>
        <v>2023</v>
      </c>
      <c r="AZ47" s="297" t="str">
        <f t="shared" si="92"/>
        <v>Enero</v>
      </c>
      <c r="BA47" s="297" t="str">
        <f t="shared" si="92"/>
        <v>Febrero</v>
      </c>
      <c r="BB47" s="297" t="str">
        <f t="shared" si="92"/>
        <v xml:space="preserve">Marzo  </v>
      </c>
      <c r="BC47" s="297" t="str">
        <f t="shared" si="92"/>
        <v>Abril</v>
      </c>
      <c r="BD47" s="297" t="str">
        <f t="shared" si="92"/>
        <v>Mayo</v>
      </c>
      <c r="BE47" s="297" t="str">
        <f t="shared" si="92"/>
        <v>Junio</v>
      </c>
      <c r="BF47" s="297" t="str">
        <f t="shared" si="92"/>
        <v>Julio</v>
      </c>
      <c r="BG47" s="297" t="str">
        <f t="shared" si="92"/>
        <v>Agosto</v>
      </c>
      <c r="BH47" s="297" t="str">
        <f t="shared" si="92"/>
        <v>Septiembre</v>
      </c>
      <c r="BI47" s="297" t="str">
        <f t="shared" si="92"/>
        <v>Octubre</v>
      </c>
      <c r="BJ47" s="297" t="str">
        <f t="shared" si="92"/>
        <v>Noviembre</v>
      </c>
      <c r="BK47" s="297" t="str">
        <f t="shared" si="92"/>
        <v>Diciembre</v>
      </c>
      <c r="BL47" s="800"/>
      <c r="BN47" s="803">
        <f t="shared" ref="BN47:BZ47" si="93">+BN4</f>
        <v>2023</v>
      </c>
      <c r="BO47" s="297" t="str">
        <f t="shared" si="93"/>
        <v>Enero</v>
      </c>
      <c r="BP47" s="297" t="str">
        <f t="shared" si="93"/>
        <v>Febrero</v>
      </c>
      <c r="BQ47" s="297" t="str">
        <f t="shared" si="93"/>
        <v xml:space="preserve">Marzo  </v>
      </c>
      <c r="BR47" s="297" t="str">
        <f t="shared" si="93"/>
        <v>Abril</v>
      </c>
      <c r="BS47" s="297" t="str">
        <f t="shared" si="93"/>
        <v>Mayo</v>
      </c>
      <c r="BT47" s="297" t="str">
        <f t="shared" si="93"/>
        <v>Junio</v>
      </c>
      <c r="BU47" s="297" t="str">
        <f t="shared" si="93"/>
        <v>Julio</v>
      </c>
      <c r="BV47" s="297" t="str">
        <f t="shared" si="93"/>
        <v>Agosto</v>
      </c>
      <c r="BW47" s="297" t="str">
        <f t="shared" si="93"/>
        <v>Septiembre</v>
      </c>
      <c r="BX47" s="297" t="str">
        <f t="shared" si="93"/>
        <v>Octubre</v>
      </c>
      <c r="BY47" s="297" t="str">
        <f t="shared" si="93"/>
        <v>Noviembre</v>
      </c>
      <c r="BZ47" s="297" t="str">
        <f t="shared" si="93"/>
        <v>Diciembre</v>
      </c>
      <c r="CA47" s="800"/>
    </row>
    <row r="48" spans="2:79">
      <c r="B48" s="197" t="s">
        <v>418</v>
      </c>
      <c r="C48" s="792">
        <f>(U48+AJ48+AY48+BN48)</f>
        <v>0</v>
      </c>
      <c r="E48" s="197" t="s">
        <v>418</v>
      </c>
      <c r="F48" s="844">
        <f>SUM(G48:J48)</f>
        <v>0</v>
      </c>
      <c r="G48" s="834"/>
      <c r="H48" s="834"/>
      <c r="I48" s="834"/>
      <c r="J48" s="834"/>
      <c r="K48" s="834"/>
      <c r="L48" s="834"/>
      <c r="M48" s="834"/>
      <c r="N48" s="834"/>
      <c r="O48" s="834"/>
      <c r="P48" s="834"/>
      <c r="Q48" s="834"/>
      <c r="R48" s="834"/>
      <c r="S48" s="800"/>
      <c r="T48" s="197" t="s">
        <v>418</v>
      </c>
      <c r="U48" s="833">
        <f>SUM(V48:AB48)</f>
        <v>0</v>
      </c>
      <c r="V48" s="834"/>
      <c r="W48" s="834"/>
      <c r="X48" s="834"/>
      <c r="Y48" s="834"/>
      <c r="Z48" s="834"/>
      <c r="AA48" s="834"/>
      <c r="AB48" s="834"/>
      <c r="AC48" s="834"/>
      <c r="AD48" s="834"/>
      <c r="AE48" s="834"/>
      <c r="AF48" s="834"/>
      <c r="AG48" s="834"/>
      <c r="AH48" s="800"/>
      <c r="AI48" s="197" t="s">
        <v>418</v>
      </c>
      <c r="AJ48" s="833">
        <f>SUM(AK48:AQ48)</f>
        <v>0</v>
      </c>
      <c r="AK48" s="834"/>
      <c r="AL48" s="834"/>
      <c r="AM48" s="834"/>
      <c r="AN48" s="834"/>
      <c r="AO48" s="834"/>
      <c r="AP48" s="834"/>
      <c r="AQ48" s="834"/>
      <c r="AR48" s="834"/>
      <c r="AS48" s="834"/>
      <c r="AT48" s="834"/>
      <c r="AU48" s="834"/>
      <c r="AV48" s="834"/>
      <c r="AW48" s="800"/>
      <c r="AX48" s="197" t="s">
        <v>418</v>
      </c>
      <c r="AY48" s="804">
        <f>SUM(AZ48:BF48)</f>
        <v>0</v>
      </c>
      <c r="AZ48" s="295"/>
      <c r="BA48" s="295"/>
      <c r="BB48" s="295"/>
      <c r="BC48" s="295"/>
      <c r="BD48" s="295"/>
      <c r="BE48" s="295"/>
      <c r="BF48" s="295"/>
      <c r="BG48" s="295"/>
      <c r="BH48" s="295"/>
      <c r="BI48" s="295"/>
      <c r="BJ48" s="295"/>
      <c r="BK48" s="295"/>
      <c r="BL48" s="800"/>
      <c r="BM48" s="197" t="s">
        <v>418</v>
      </c>
      <c r="BN48" s="804">
        <f>SUM(BO48:BT48)</f>
        <v>0</v>
      </c>
      <c r="BO48" s="295"/>
      <c r="BP48" s="295"/>
      <c r="BQ48" s="295"/>
      <c r="BR48" s="295"/>
      <c r="BS48" s="295"/>
      <c r="BT48" s="295"/>
      <c r="BU48" s="295"/>
      <c r="BV48" s="295"/>
      <c r="BW48" s="295"/>
      <c r="BX48" s="295"/>
      <c r="BY48" s="295"/>
      <c r="BZ48" s="295"/>
      <c r="CA48" s="800"/>
    </row>
    <row r="49" spans="2:79">
      <c r="B49" s="197" t="s">
        <v>398</v>
      </c>
      <c r="C49" s="795">
        <f>(U49+AJ49+AY49+BN49)</f>
        <v>946287.16339999996</v>
      </c>
      <c r="E49" s="197" t="s">
        <v>398</v>
      </c>
      <c r="F49" s="298">
        <f>SUM(G49:J49)</f>
        <v>21581</v>
      </c>
      <c r="G49" s="299">
        <f>(G34)</f>
        <v>5533</v>
      </c>
      <c r="H49" s="299">
        <f t="shared" ref="H49:R49" si="94">(H34)</f>
        <v>4229</v>
      </c>
      <c r="I49" s="299">
        <f t="shared" si="94"/>
        <v>5162</v>
      </c>
      <c r="J49" s="299">
        <f t="shared" si="94"/>
        <v>6657</v>
      </c>
      <c r="K49" s="299">
        <f t="shared" si="94"/>
        <v>5234</v>
      </c>
      <c r="L49" s="299">
        <f t="shared" si="94"/>
        <v>3465</v>
      </c>
      <c r="M49" s="299">
        <f t="shared" si="94"/>
        <v>4022</v>
      </c>
      <c r="N49" s="299">
        <f t="shared" si="94"/>
        <v>5396</v>
      </c>
      <c r="O49" s="299">
        <f t="shared" si="94"/>
        <v>5546</v>
      </c>
      <c r="P49" s="299">
        <f t="shared" si="94"/>
        <v>5929</v>
      </c>
      <c r="Q49" s="299">
        <f t="shared" si="94"/>
        <v>6454</v>
      </c>
      <c r="R49" s="299">
        <f t="shared" si="94"/>
        <v>5494</v>
      </c>
      <c r="S49" s="800"/>
      <c r="T49" s="197" t="s">
        <v>398</v>
      </c>
      <c r="U49" s="849">
        <f>SUM(V49:AB49)</f>
        <v>41.276000000000003</v>
      </c>
      <c r="V49" s="850">
        <f>(V34)</f>
        <v>5.1420000000000003</v>
      </c>
      <c r="W49" s="850">
        <f t="shared" ref="W49:AG49" si="95">(W34)</f>
        <v>6.4329999999999998</v>
      </c>
      <c r="X49" s="850">
        <f t="shared" si="95"/>
        <v>8.2370000000000001</v>
      </c>
      <c r="Y49" s="850">
        <f t="shared" si="95"/>
        <v>6.0819999999999999</v>
      </c>
      <c r="Z49" s="850">
        <f t="shared" si="95"/>
        <v>5.2939999999999996</v>
      </c>
      <c r="AA49" s="850">
        <f t="shared" si="95"/>
        <v>5.7380000000000004</v>
      </c>
      <c r="AB49" s="850">
        <f t="shared" si="95"/>
        <v>4.3499999999999996</v>
      </c>
      <c r="AC49" s="850">
        <f t="shared" si="95"/>
        <v>0</v>
      </c>
      <c r="AD49" s="850">
        <f t="shared" si="95"/>
        <v>0</v>
      </c>
      <c r="AE49" s="850">
        <f t="shared" si="95"/>
        <v>0</v>
      </c>
      <c r="AF49" s="850">
        <f t="shared" si="95"/>
        <v>0</v>
      </c>
      <c r="AG49" s="850">
        <f t="shared" si="95"/>
        <v>0</v>
      </c>
      <c r="AH49" s="800"/>
      <c r="AI49" s="197" t="s">
        <v>398</v>
      </c>
      <c r="AJ49" s="807">
        <f>SUM(AK49:AQ49)</f>
        <v>2205.8873999999996</v>
      </c>
      <c r="AK49" s="303">
        <f>(AK34)</f>
        <v>145.62</v>
      </c>
      <c r="AL49" s="303">
        <f t="shared" ref="AL49:AV49" si="96">(AL34)</f>
        <v>326.8</v>
      </c>
      <c r="AM49" s="303">
        <f t="shared" si="96"/>
        <v>98.1</v>
      </c>
      <c r="AN49" s="303">
        <f t="shared" si="96"/>
        <v>304.6146</v>
      </c>
      <c r="AO49" s="303">
        <f t="shared" si="96"/>
        <v>222.76279999999997</v>
      </c>
      <c r="AP49" s="303">
        <f t="shared" si="96"/>
        <v>406.59</v>
      </c>
      <c r="AQ49" s="303">
        <f t="shared" si="96"/>
        <v>701.4</v>
      </c>
      <c r="AR49" s="303">
        <f t="shared" si="96"/>
        <v>0</v>
      </c>
      <c r="AS49" s="303">
        <f t="shared" si="96"/>
        <v>0</v>
      </c>
      <c r="AT49" s="303">
        <f t="shared" si="96"/>
        <v>0</v>
      </c>
      <c r="AU49" s="303">
        <f t="shared" si="96"/>
        <v>0</v>
      </c>
      <c r="AV49" s="303">
        <f t="shared" si="96"/>
        <v>0</v>
      </c>
      <c r="AW49" s="800"/>
      <c r="AX49" s="197" t="s">
        <v>398</v>
      </c>
      <c r="AY49" s="807">
        <f>SUM(AZ49:BF49)</f>
        <v>929700</v>
      </c>
      <c r="AZ49" s="303">
        <f>(AZ34)</f>
        <v>236400</v>
      </c>
      <c r="BA49" s="303">
        <f t="shared" ref="BA49:BK49" si="97">(BA34)</f>
        <v>3100</v>
      </c>
      <c r="BB49" s="303">
        <f t="shared" si="97"/>
        <v>70000</v>
      </c>
      <c r="BC49" s="303">
        <f t="shared" si="97"/>
        <v>91000</v>
      </c>
      <c r="BD49" s="303">
        <f t="shared" si="97"/>
        <v>328000</v>
      </c>
      <c r="BE49" s="303">
        <f t="shared" si="97"/>
        <v>41000</v>
      </c>
      <c r="BF49" s="303">
        <f t="shared" si="97"/>
        <v>160200</v>
      </c>
      <c r="BG49" s="303">
        <f t="shared" si="97"/>
        <v>0</v>
      </c>
      <c r="BH49" s="303">
        <f t="shared" si="97"/>
        <v>0</v>
      </c>
      <c r="BI49" s="303">
        <f t="shared" si="97"/>
        <v>0</v>
      </c>
      <c r="BJ49" s="303">
        <f t="shared" si="97"/>
        <v>0</v>
      </c>
      <c r="BK49" s="303">
        <f t="shared" si="97"/>
        <v>0</v>
      </c>
      <c r="BL49" s="800"/>
      <c r="BM49" s="197" t="s">
        <v>398</v>
      </c>
      <c r="BN49" s="807">
        <f>SUM(BO49:BT49)</f>
        <v>14340</v>
      </c>
      <c r="BO49" s="303">
        <f>(BO34)</f>
        <v>1000</v>
      </c>
      <c r="BP49" s="303">
        <f t="shared" ref="BP49:BZ49" si="98">(BP34)</f>
        <v>2200</v>
      </c>
      <c r="BQ49" s="303">
        <f t="shared" si="98"/>
        <v>3200</v>
      </c>
      <c r="BR49" s="303">
        <f t="shared" si="98"/>
        <v>2600</v>
      </c>
      <c r="BS49" s="303">
        <f t="shared" si="98"/>
        <v>1940</v>
      </c>
      <c r="BT49" s="303">
        <f t="shared" si="98"/>
        <v>3400</v>
      </c>
      <c r="BU49" s="303">
        <f t="shared" si="98"/>
        <v>0</v>
      </c>
      <c r="BV49" s="303">
        <f t="shared" si="98"/>
        <v>0</v>
      </c>
      <c r="BW49" s="303">
        <f t="shared" si="98"/>
        <v>0</v>
      </c>
      <c r="BX49" s="303">
        <f t="shared" si="98"/>
        <v>0</v>
      </c>
      <c r="BY49" s="303">
        <f t="shared" si="98"/>
        <v>0</v>
      </c>
      <c r="BZ49" s="303">
        <f t="shared" si="98"/>
        <v>0</v>
      </c>
      <c r="CA49" s="800"/>
    </row>
    <row r="50" spans="2:79" ht="15.75" thickBot="1">
      <c r="B50" s="293" t="s">
        <v>399</v>
      </c>
      <c r="C50" s="794">
        <f>AVERAGE(U50,AJ50,AY50,BN50)</f>
        <v>0</v>
      </c>
      <c r="D50" s="796"/>
      <c r="E50" s="293" t="s">
        <v>399</v>
      </c>
      <c r="F50" s="851">
        <f>AVERAGE(G50:R50)</f>
        <v>0</v>
      </c>
      <c r="G50" s="836">
        <f>+G48/G49</f>
        <v>0</v>
      </c>
      <c r="H50" s="836">
        <f>+H48/H49</f>
        <v>0</v>
      </c>
      <c r="I50" s="836">
        <f t="shared" ref="I50:R50" si="99">+I48/I49</f>
        <v>0</v>
      </c>
      <c r="J50" s="836">
        <f t="shared" si="99"/>
        <v>0</v>
      </c>
      <c r="K50" s="836">
        <f t="shared" si="99"/>
        <v>0</v>
      </c>
      <c r="L50" s="836">
        <f t="shared" si="99"/>
        <v>0</v>
      </c>
      <c r="M50" s="836">
        <f t="shared" si="99"/>
        <v>0</v>
      </c>
      <c r="N50" s="836">
        <f t="shared" si="99"/>
        <v>0</v>
      </c>
      <c r="O50" s="836">
        <f t="shared" si="99"/>
        <v>0</v>
      </c>
      <c r="P50" s="836">
        <f t="shared" si="99"/>
        <v>0</v>
      </c>
      <c r="Q50" s="836">
        <f t="shared" si="99"/>
        <v>0</v>
      </c>
      <c r="R50" s="836">
        <f t="shared" si="99"/>
        <v>0</v>
      </c>
      <c r="S50" s="802"/>
      <c r="T50" s="293" t="s">
        <v>399</v>
      </c>
      <c r="U50" s="835">
        <f>AVERAGE(V50:AB50)</f>
        <v>0</v>
      </c>
      <c r="V50" s="836">
        <f>+V48/V49</f>
        <v>0</v>
      </c>
      <c r="W50" s="836">
        <f>+W48/W49</f>
        <v>0</v>
      </c>
      <c r="X50" s="836">
        <f t="shared" ref="X50:AG50" si="100">+X48/X49</f>
        <v>0</v>
      </c>
      <c r="Y50" s="836">
        <f t="shared" si="100"/>
        <v>0</v>
      </c>
      <c r="Z50" s="836">
        <f>+Z48/Z49</f>
        <v>0</v>
      </c>
      <c r="AA50" s="836">
        <f t="shared" si="100"/>
        <v>0</v>
      </c>
      <c r="AB50" s="836">
        <f t="shared" si="100"/>
        <v>0</v>
      </c>
      <c r="AC50" s="836" t="e">
        <f t="shared" si="100"/>
        <v>#DIV/0!</v>
      </c>
      <c r="AD50" s="836" t="e">
        <f t="shared" si="100"/>
        <v>#DIV/0!</v>
      </c>
      <c r="AE50" s="836" t="e">
        <f t="shared" si="100"/>
        <v>#DIV/0!</v>
      </c>
      <c r="AF50" s="836" t="e">
        <f t="shared" si="100"/>
        <v>#DIV/0!</v>
      </c>
      <c r="AG50" s="836" t="e">
        <f t="shared" si="100"/>
        <v>#DIV/0!</v>
      </c>
      <c r="AH50" s="802"/>
      <c r="AI50" s="293" t="s">
        <v>399</v>
      </c>
      <c r="AJ50" s="835">
        <f>AVERAGE(AK50:AQ50)</f>
        <v>0</v>
      </c>
      <c r="AK50" s="836">
        <f>+AK48/AK49</f>
        <v>0</v>
      </c>
      <c r="AL50" s="836">
        <f>+AL48/AL49</f>
        <v>0</v>
      </c>
      <c r="AM50" s="836">
        <f t="shared" ref="AM50:AV50" si="101">+AM48/AM49</f>
        <v>0</v>
      </c>
      <c r="AN50" s="836">
        <f t="shared" si="101"/>
        <v>0</v>
      </c>
      <c r="AO50" s="836">
        <f t="shared" si="101"/>
        <v>0</v>
      </c>
      <c r="AP50" s="836">
        <f t="shared" si="101"/>
        <v>0</v>
      </c>
      <c r="AQ50" s="836">
        <f t="shared" si="101"/>
        <v>0</v>
      </c>
      <c r="AR50" s="836" t="e">
        <f t="shared" si="101"/>
        <v>#DIV/0!</v>
      </c>
      <c r="AS50" s="836" t="e">
        <f t="shared" si="101"/>
        <v>#DIV/0!</v>
      </c>
      <c r="AT50" s="836" t="e">
        <f t="shared" si="101"/>
        <v>#DIV/0!</v>
      </c>
      <c r="AU50" s="836" t="e">
        <f t="shared" si="101"/>
        <v>#DIV/0!</v>
      </c>
      <c r="AV50" s="836" t="e">
        <f t="shared" si="101"/>
        <v>#DIV/0!</v>
      </c>
      <c r="AW50" s="802"/>
      <c r="AX50" s="293" t="s">
        <v>399</v>
      </c>
      <c r="AY50" s="835">
        <f>AVERAGE(AZ50:BF50)</f>
        <v>0</v>
      </c>
      <c r="AZ50" s="836">
        <f>+AZ48/AZ49</f>
        <v>0</v>
      </c>
      <c r="BA50" s="836">
        <f>+BA48/BA49</f>
        <v>0</v>
      </c>
      <c r="BB50" s="836">
        <f t="shared" ref="BB50:BK50" si="102">+BB48/BB49</f>
        <v>0</v>
      </c>
      <c r="BC50" s="836">
        <f t="shared" si="102"/>
        <v>0</v>
      </c>
      <c r="BD50" s="836">
        <f t="shared" si="102"/>
        <v>0</v>
      </c>
      <c r="BE50" s="836">
        <f t="shared" si="102"/>
        <v>0</v>
      </c>
      <c r="BF50" s="836">
        <f t="shared" si="102"/>
        <v>0</v>
      </c>
      <c r="BG50" s="836" t="e">
        <f t="shared" si="102"/>
        <v>#DIV/0!</v>
      </c>
      <c r="BH50" s="836" t="e">
        <f t="shared" si="102"/>
        <v>#DIV/0!</v>
      </c>
      <c r="BI50" s="836" t="e">
        <f t="shared" si="102"/>
        <v>#DIV/0!</v>
      </c>
      <c r="BJ50" s="836" t="e">
        <f t="shared" si="102"/>
        <v>#DIV/0!</v>
      </c>
      <c r="BK50" s="836" t="e">
        <f t="shared" si="102"/>
        <v>#DIV/0!</v>
      </c>
      <c r="BL50" s="802"/>
      <c r="BM50" s="293" t="s">
        <v>399</v>
      </c>
      <c r="BN50" s="835">
        <f>AVERAGE(BO50:BT50)</f>
        <v>0</v>
      </c>
      <c r="BO50" s="836">
        <f>+BO48/BO49</f>
        <v>0</v>
      </c>
      <c r="BP50" s="836">
        <f t="shared" ref="BP50:BZ50" si="103">+BP48/BP49</f>
        <v>0</v>
      </c>
      <c r="BQ50" s="836">
        <f t="shared" si="103"/>
        <v>0</v>
      </c>
      <c r="BR50" s="836">
        <f t="shared" si="103"/>
        <v>0</v>
      </c>
      <c r="BS50" s="836">
        <f t="shared" si="103"/>
        <v>0</v>
      </c>
      <c r="BT50" s="836">
        <f t="shared" si="103"/>
        <v>0</v>
      </c>
      <c r="BU50" s="836" t="e">
        <f t="shared" si="103"/>
        <v>#DIV/0!</v>
      </c>
      <c r="BV50" s="836" t="e">
        <f t="shared" si="103"/>
        <v>#DIV/0!</v>
      </c>
      <c r="BW50" s="836" t="e">
        <f t="shared" si="103"/>
        <v>#DIV/0!</v>
      </c>
      <c r="BX50" s="836" t="e">
        <f t="shared" si="103"/>
        <v>#DIV/0!</v>
      </c>
      <c r="BY50" s="836" t="e">
        <f t="shared" si="103"/>
        <v>#DIV/0!</v>
      </c>
      <c r="BZ50" s="836" t="e">
        <f t="shared" si="103"/>
        <v>#DIV/0!</v>
      </c>
      <c r="CA50" s="802"/>
    </row>
    <row r="51" spans="2:79" ht="15.75" thickTop="1">
      <c r="B51" s="197"/>
      <c r="C51" s="796"/>
      <c r="D51" s="796"/>
      <c r="E51" s="197"/>
      <c r="F51" s="796"/>
      <c r="G51" s="304"/>
      <c r="H51" s="304"/>
      <c r="I51" s="304"/>
      <c r="J51" s="304"/>
      <c r="K51" s="304"/>
      <c r="L51" s="304"/>
      <c r="M51" s="304"/>
      <c r="N51" s="304"/>
      <c r="O51" s="304"/>
      <c r="P51" s="304"/>
      <c r="Q51" s="304"/>
      <c r="R51" s="304"/>
      <c r="S51" s="802"/>
      <c r="T51" s="197"/>
      <c r="U51" s="796"/>
      <c r="V51" s="304"/>
      <c r="W51" s="304"/>
      <c r="X51" s="304"/>
      <c r="Y51" s="304"/>
      <c r="Z51" s="304"/>
      <c r="AA51" s="304"/>
      <c r="AB51" s="304"/>
      <c r="AC51" s="304"/>
      <c r="AD51" s="304"/>
      <c r="AE51" s="304"/>
      <c r="AF51" s="304"/>
      <c r="AG51" s="304"/>
      <c r="AH51" s="802"/>
      <c r="AI51" s="197"/>
      <c r="AJ51" s="796"/>
      <c r="AK51" s="304"/>
      <c r="AL51" s="304"/>
      <c r="AM51" s="304"/>
      <c r="AN51" s="304"/>
      <c r="AO51" s="304"/>
      <c r="AP51" s="304"/>
      <c r="AQ51" s="304"/>
      <c r="AR51" s="304"/>
      <c r="AS51" s="304"/>
      <c r="AT51" s="304"/>
      <c r="AU51" s="304"/>
      <c r="AV51" s="304"/>
      <c r="AW51" s="802"/>
      <c r="AX51" s="197"/>
      <c r="AY51" s="796"/>
      <c r="AZ51" s="304"/>
      <c r="BA51" s="304"/>
      <c r="BB51" s="304"/>
      <c r="BC51" s="304"/>
      <c r="BD51" s="304"/>
      <c r="BE51" s="304"/>
      <c r="BF51" s="304"/>
      <c r="BG51" s="304"/>
      <c r="BH51" s="304"/>
      <c r="BI51" s="304"/>
      <c r="BJ51" s="304"/>
      <c r="BK51" s="304"/>
      <c r="BL51" s="802"/>
      <c r="BM51" s="197"/>
      <c r="BN51" s="796"/>
      <c r="BO51" s="304"/>
      <c r="BP51" s="304"/>
      <c r="BQ51" s="304"/>
      <c r="BR51" s="304"/>
      <c r="BS51" s="304"/>
      <c r="BT51" s="304"/>
      <c r="BU51" s="304"/>
      <c r="BV51" s="304"/>
      <c r="BW51" s="304"/>
      <c r="BX51" s="304"/>
      <c r="BY51" s="304"/>
      <c r="BZ51" s="304"/>
      <c r="CA51" s="802"/>
    </row>
    <row r="52" spans="2:79" ht="15.75" thickBot="1">
      <c r="B52" s="311" t="s">
        <v>462</v>
      </c>
      <c r="C52" s="794">
        <f>+C40+C45+C50</f>
        <v>5011.9025658647861</v>
      </c>
      <c r="E52" s="311" t="s">
        <v>462</v>
      </c>
      <c r="F52" s="851">
        <f>+F50+F51</f>
        <v>0</v>
      </c>
      <c r="G52" s="837">
        <f>+G50+G51</f>
        <v>0</v>
      </c>
      <c r="H52" s="837">
        <f t="shared" ref="H52:R52" si="104">+H50+H51</f>
        <v>0</v>
      </c>
      <c r="I52" s="837">
        <f t="shared" si="104"/>
        <v>0</v>
      </c>
      <c r="J52" s="837">
        <f t="shared" si="104"/>
        <v>0</v>
      </c>
      <c r="K52" s="837">
        <f t="shared" si="104"/>
        <v>0</v>
      </c>
      <c r="L52" s="837">
        <f t="shared" si="104"/>
        <v>0</v>
      </c>
      <c r="M52" s="837">
        <f t="shared" si="104"/>
        <v>0</v>
      </c>
      <c r="N52" s="837">
        <f t="shared" si="104"/>
        <v>0</v>
      </c>
      <c r="O52" s="837">
        <f t="shared" si="104"/>
        <v>0</v>
      </c>
      <c r="P52" s="837">
        <f t="shared" si="104"/>
        <v>0</v>
      </c>
      <c r="Q52" s="837">
        <f t="shared" si="104"/>
        <v>0</v>
      </c>
      <c r="R52" s="837">
        <f t="shared" si="104"/>
        <v>0</v>
      </c>
      <c r="S52" s="800"/>
      <c r="T52" s="311" t="s">
        <v>462</v>
      </c>
      <c r="U52" s="835">
        <f>+U40+U45+U50</f>
        <v>19440.200190247488</v>
      </c>
      <c r="V52" s="837">
        <f>+V40+V45+V50</f>
        <v>21891.016413846752</v>
      </c>
      <c r="W52" s="837">
        <f t="shared" ref="W52:AG52" si="105">+W40+W45+W50</f>
        <v>15480.909961137884</v>
      </c>
      <c r="X52" s="837">
        <f t="shared" si="105"/>
        <v>14494.80522156125</v>
      </c>
      <c r="Y52" s="837">
        <f t="shared" si="105"/>
        <v>18475.703913186451</v>
      </c>
      <c r="Z52" s="837">
        <f>+Z40+Z45+Z50</f>
        <v>20042.339705326787</v>
      </c>
      <c r="AA52" s="837">
        <f t="shared" si="105"/>
        <v>19179.09048448937</v>
      </c>
      <c r="AB52" s="837">
        <f t="shared" si="105"/>
        <v>26517.53563218391</v>
      </c>
      <c r="AC52" s="837" t="e">
        <f t="shared" si="105"/>
        <v>#DIV/0!</v>
      </c>
      <c r="AD52" s="837" t="e">
        <f t="shared" si="105"/>
        <v>#DIV/0!</v>
      </c>
      <c r="AE52" s="837" t="e">
        <f t="shared" si="105"/>
        <v>#DIV/0!</v>
      </c>
      <c r="AF52" s="837" t="e">
        <f t="shared" si="105"/>
        <v>#DIV/0!</v>
      </c>
      <c r="AG52" s="837" t="e">
        <f t="shared" si="105"/>
        <v>#DIV/0!</v>
      </c>
      <c r="AH52" s="800"/>
      <c r="AI52" s="311" t="s">
        <v>462</v>
      </c>
      <c r="AJ52" s="835">
        <f>+AJ40+AJ45+AJ50</f>
        <v>372.78628811047105</v>
      </c>
      <c r="AK52" s="837">
        <f>+AK40+AK45+AK50</f>
        <v>532.96775415464901</v>
      </c>
      <c r="AL52" s="837">
        <f t="shared" ref="AL52:AV52" si="106">+AL40+AL45+AL50</f>
        <v>221.78874694002445</v>
      </c>
      <c r="AM52" s="837">
        <f t="shared" si="106"/>
        <v>939.84482579001019</v>
      </c>
      <c r="AN52" s="837">
        <f t="shared" si="106"/>
        <v>239.97558488660752</v>
      </c>
      <c r="AO52" s="837">
        <f t="shared" si="106"/>
        <v>361.02135545073054</v>
      </c>
      <c r="AP52" s="837">
        <f>+AP40+AP45+AP50</f>
        <v>187.43861285324283</v>
      </c>
      <c r="AQ52" s="837">
        <f t="shared" si="106"/>
        <v>126.46713669803252</v>
      </c>
      <c r="AR52" s="837" t="e">
        <f t="shared" si="106"/>
        <v>#DIV/0!</v>
      </c>
      <c r="AS52" s="837" t="e">
        <f t="shared" si="106"/>
        <v>#DIV/0!</v>
      </c>
      <c r="AT52" s="837" t="e">
        <f t="shared" si="106"/>
        <v>#DIV/0!</v>
      </c>
      <c r="AU52" s="837" t="e">
        <f t="shared" si="106"/>
        <v>#DIV/0!</v>
      </c>
      <c r="AV52" s="837" t="e">
        <f t="shared" si="106"/>
        <v>#DIV/0!</v>
      </c>
      <c r="AW52" s="800"/>
      <c r="AX52" s="311" t="s">
        <v>462</v>
      </c>
      <c r="AY52" s="835">
        <f>+AY40+AY45+AY50</f>
        <v>10.988443153057897</v>
      </c>
      <c r="AZ52" s="837">
        <f>+AZ40+AZ45+AZ50</f>
        <v>0.94687328883651589</v>
      </c>
      <c r="BA52" s="837">
        <f>+BA40+BA45+BA50</f>
        <v>56.837747677419358</v>
      </c>
      <c r="BB52" s="837">
        <f>+BB40+BB45+BB50</f>
        <v>6.832246797142858</v>
      </c>
      <c r="BC52" s="837">
        <f t="shared" ref="BC52:BK52" si="107">+BC40+BC45+BC50</f>
        <v>4.6762572571428578</v>
      </c>
      <c r="BD52" s="837">
        <f t="shared" si="107"/>
        <v>1.0528458853658536</v>
      </c>
      <c r="BE52" s="837">
        <f t="shared" si="107"/>
        <v>5.5637609853658541</v>
      </c>
      <c r="BF52" s="837">
        <f t="shared" si="107"/>
        <v>1.0093701801319779</v>
      </c>
      <c r="BG52" s="837" t="e">
        <f t="shared" si="107"/>
        <v>#DIV/0!</v>
      </c>
      <c r="BH52" s="837" t="e">
        <f t="shared" si="107"/>
        <v>#DIV/0!</v>
      </c>
      <c r="BI52" s="837" t="e">
        <f t="shared" si="107"/>
        <v>#DIV/0!</v>
      </c>
      <c r="BJ52" s="837" t="e">
        <f t="shared" si="107"/>
        <v>#DIV/0!</v>
      </c>
      <c r="BK52" s="837" t="e">
        <f t="shared" si="107"/>
        <v>#DIV/0!</v>
      </c>
      <c r="BL52" s="800"/>
      <c r="BM52" s="311" t="s">
        <v>462</v>
      </c>
      <c r="BN52" s="835">
        <f>+BN40+BN45+BN50</f>
        <v>223.63534194812704</v>
      </c>
      <c r="BO52" s="837">
        <f>+BO40+BO45+BO50</f>
        <v>290.04931767008298</v>
      </c>
      <c r="BP52" s="837">
        <f>+BP40+BP45+BP50</f>
        <v>235.74107236363636</v>
      </c>
      <c r="BQ52" s="837">
        <f>+BQ40+BQ45+BQ50</f>
        <v>235.60746161562497</v>
      </c>
      <c r="BR52" s="837">
        <f>+BR40+BR45+BR50</f>
        <v>236.06068099999999</v>
      </c>
      <c r="BS52" s="837">
        <f t="shared" ref="BS52:BZ52" si="108">+BS40+BS45+BS50</f>
        <v>199.59999680412372</v>
      </c>
      <c r="BT52" s="837">
        <f t="shared" si="108"/>
        <v>144.7535222352941</v>
      </c>
      <c r="BU52" s="837" t="e">
        <f t="shared" si="108"/>
        <v>#DIV/0!</v>
      </c>
      <c r="BV52" s="837" t="e">
        <f t="shared" si="108"/>
        <v>#DIV/0!</v>
      </c>
      <c r="BW52" s="837" t="e">
        <f t="shared" si="108"/>
        <v>#DIV/0!</v>
      </c>
      <c r="BX52" s="837" t="e">
        <f t="shared" si="108"/>
        <v>#DIV/0!</v>
      </c>
      <c r="BY52" s="837" t="e">
        <f t="shared" si="108"/>
        <v>#DIV/0!</v>
      </c>
      <c r="BZ52" s="837" t="e">
        <f t="shared" si="108"/>
        <v>#DIV/0!</v>
      </c>
      <c r="CA52" s="800"/>
    </row>
    <row r="53" spans="2:79" ht="15.75" thickTop="1">
      <c r="B53" s="197"/>
      <c r="C53" s="796"/>
      <c r="D53" s="796"/>
      <c r="E53" s="197"/>
      <c r="F53" s="796"/>
      <c r="G53" s="304"/>
      <c r="H53" s="304"/>
      <c r="I53" s="304"/>
      <c r="J53" s="304"/>
      <c r="K53" s="304"/>
      <c r="L53" s="304"/>
      <c r="M53" s="304"/>
      <c r="N53" s="304"/>
      <c r="O53" s="304"/>
      <c r="P53" s="304"/>
      <c r="Q53" s="304"/>
      <c r="R53" s="304"/>
      <c r="S53" s="802"/>
      <c r="T53" s="197"/>
      <c r="U53" s="796"/>
      <c r="V53" s="304"/>
      <c r="W53" s="304"/>
      <c r="X53" s="304"/>
      <c r="Y53" s="304"/>
      <c r="Z53" s="304"/>
      <c r="AA53" s="304"/>
      <c r="AB53" s="304"/>
      <c r="AC53" s="304"/>
      <c r="AD53" s="304"/>
      <c r="AE53" s="304"/>
      <c r="AF53" s="304"/>
      <c r="AG53" s="304"/>
      <c r="AH53" s="802"/>
      <c r="AI53" s="197"/>
      <c r="AJ53" s="796"/>
      <c r="AK53" s="304"/>
      <c r="AL53" s="304"/>
      <c r="AM53" s="304"/>
      <c r="AN53" s="304"/>
      <c r="AO53" s="304"/>
      <c r="AP53" s="304"/>
      <c r="AQ53" s="304"/>
      <c r="AR53" s="304"/>
      <c r="AS53" s="304"/>
      <c r="AT53" s="304"/>
      <c r="AU53" s="304"/>
      <c r="AV53" s="304"/>
      <c r="AW53" s="802"/>
      <c r="AX53" s="197"/>
      <c r="AY53" s="796"/>
      <c r="AZ53" s="304"/>
      <c r="BA53" s="304"/>
      <c r="BB53" s="304"/>
      <c r="BC53" s="304"/>
      <c r="BD53" s="304"/>
      <c r="BE53" s="304"/>
      <c r="BF53" s="304"/>
      <c r="BG53" s="304"/>
      <c r="BH53" s="304"/>
      <c r="BI53" s="304"/>
      <c r="BJ53" s="304"/>
      <c r="BK53" s="304"/>
      <c r="BL53" s="802"/>
      <c r="BM53" s="197"/>
      <c r="BN53" s="796"/>
      <c r="BO53" s="304"/>
      <c r="BP53" s="304"/>
      <c r="BQ53" s="304"/>
      <c r="BR53" s="304"/>
      <c r="BS53" s="304"/>
      <c r="BT53" s="304"/>
      <c r="BU53" s="304"/>
      <c r="BV53" s="304"/>
      <c r="BW53" s="304"/>
      <c r="BX53" s="304"/>
      <c r="BY53" s="304"/>
      <c r="BZ53" s="304"/>
      <c r="CA53" s="802"/>
    </row>
    <row r="54" spans="2:79">
      <c r="B54" s="197" t="s">
        <v>483</v>
      </c>
      <c r="C54" s="796">
        <f>(U54+AJ54+AY54+BN54)</f>
        <v>963.851</v>
      </c>
      <c r="D54" s="796"/>
      <c r="E54" s="197" t="s">
        <v>466</v>
      </c>
      <c r="F54" s="796"/>
      <c r="G54" s="304"/>
      <c r="H54" s="304"/>
      <c r="I54" s="304"/>
      <c r="J54" s="304"/>
      <c r="K54" s="304"/>
      <c r="L54" s="304"/>
      <c r="M54" s="304"/>
      <c r="N54" s="304"/>
      <c r="O54" s="304"/>
      <c r="P54" s="304"/>
      <c r="Q54" s="304"/>
      <c r="R54" s="304"/>
      <c r="S54" s="802"/>
      <c r="T54" s="197" t="s">
        <v>466</v>
      </c>
      <c r="U54" s="808">
        <f>SUM(V54:AB54)</f>
        <v>10.850999999999999</v>
      </c>
      <c r="V54" s="313">
        <f>1200/1000</f>
        <v>1.2</v>
      </c>
      <c r="W54" s="313">
        <f>3665/1000</f>
        <v>3.665</v>
      </c>
      <c r="X54" s="313">
        <f>1600/1000</f>
        <v>1.6</v>
      </c>
      <c r="Y54" s="313">
        <f>750/1000</f>
        <v>0.75</v>
      </c>
      <c r="Z54" s="313">
        <f>1000/1000</f>
        <v>1</v>
      </c>
      <c r="AA54" s="313">
        <f>1376/1000</f>
        <v>1.3759999999999999</v>
      </c>
      <c r="AB54" s="313">
        <f>1260/1000</f>
        <v>1.26</v>
      </c>
      <c r="AC54" s="312"/>
      <c r="AD54" s="312"/>
      <c r="AE54" s="312"/>
      <c r="AF54" s="312"/>
      <c r="AG54" s="312"/>
      <c r="AH54" s="802"/>
      <c r="AI54" s="197" t="s">
        <v>473</v>
      </c>
      <c r="AJ54" s="808">
        <f>SUM(AK54:AQ54)</f>
        <v>953</v>
      </c>
      <c r="AK54" s="313">
        <v>222</v>
      </c>
      <c r="AL54" s="313">
        <v>156</v>
      </c>
      <c r="AM54" s="313">
        <v>183</v>
      </c>
      <c r="AN54" s="313">
        <v>40</v>
      </c>
      <c r="AO54" s="313">
        <v>113</v>
      </c>
      <c r="AP54" s="313">
        <v>137</v>
      </c>
      <c r="AQ54" s="313">
        <v>102</v>
      </c>
      <c r="AR54" s="312"/>
      <c r="AS54" s="312"/>
      <c r="AT54" s="312"/>
      <c r="AU54" s="312"/>
      <c r="AV54" s="312"/>
      <c r="AW54" s="802"/>
      <c r="AX54" s="197" t="s">
        <v>473</v>
      </c>
      <c r="AY54" s="808">
        <f>SUM(AZ54:BF54)</f>
        <v>0</v>
      </c>
      <c r="AZ54" s="313"/>
      <c r="BA54" s="313"/>
      <c r="BB54" s="313"/>
      <c r="BC54" s="313"/>
      <c r="BD54" s="313"/>
      <c r="BE54" s="313"/>
      <c r="BF54" s="313"/>
      <c r="BG54" s="312"/>
      <c r="BH54" s="312"/>
      <c r="BI54" s="312"/>
      <c r="BJ54" s="312"/>
      <c r="BK54" s="312"/>
      <c r="BL54" s="802"/>
      <c r="BM54" s="197" t="s">
        <v>473</v>
      </c>
      <c r="BN54" s="808">
        <f>SUM(BO54:BT54)</f>
        <v>0</v>
      </c>
      <c r="BO54" s="313"/>
      <c r="BP54" s="313"/>
      <c r="BQ54" s="313"/>
      <c r="BR54" s="313"/>
      <c r="BS54" s="313"/>
      <c r="BT54" s="313"/>
      <c r="BU54" s="312"/>
      <c r="BV54" s="312"/>
      <c r="BW54" s="312"/>
      <c r="BX54" s="312"/>
      <c r="BY54" s="312"/>
      <c r="BZ54" s="312"/>
      <c r="CA54" s="802"/>
    </row>
    <row r="55" spans="2:79">
      <c r="B55" s="197" t="s">
        <v>484</v>
      </c>
      <c r="C55" s="796">
        <f>(U55+AJ55+AY55+BN55)</f>
        <v>860870.63</v>
      </c>
      <c r="D55" s="796"/>
      <c r="E55" s="197" t="s">
        <v>467</v>
      </c>
      <c r="F55" s="796"/>
      <c r="G55" s="304"/>
      <c r="H55" s="304"/>
      <c r="I55" s="304"/>
      <c r="J55" s="304"/>
      <c r="K55" s="304"/>
      <c r="L55" s="304"/>
      <c r="M55" s="304"/>
      <c r="N55" s="304"/>
      <c r="O55" s="304"/>
      <c r="P55" s="304"/>
      <c r="Q55" s="304"/>
      <c r="R55" s="304"/>
      <c r="S55" s="802"/>
      <c r="T55" s="197" t="s">
        <v>467</v>
      </c>
      <c r="U55" s="808">
        <f>SUM(V55:AB55)</f>
        <v>28.63</v>
      </c>
      <c r="V55" s="314">
        <f>(3760/1000)-0.22</f>
        <v>3.5399999999999996</v>
      </c>
      <c r="W55" s="314">
        <f>(2795/1000)-0.22</f>
        <v>2.5749999999999997</v>
      </c>
      <c r="X55" s="314">
        <f>(5505/1000)-0.33</f>
        <v>5.1749999999999998</v>
      </c>
      <c r="Y55" s="314">
        <f>(3845/1000)-0.22</f>
        <v>3.625</v>
      </c>
      <c r="Z55" s="314">
        <f>(6090/1000)-0.22</f>
        <v>5.87</v>
      </c>
      <c r="AA55" s="314">
        <f>5475/1000-0.22</f>
        <v>5.2549999999999999</v>
      </c>
      <c r="AB55" s="314">
        <f>2810/1000-0.22</f>
        <v>2.59</v>
      </c>
      <c r="AC55" s="312"/>
      <c r="AD55" s="312"/>
      <c r="AE55" s="312"/>
      <c r="AF55" s="312"/>
      <c r="AG55" s="312"/>
      <c r="AH55" s="802"/>
      <c r="AI55" s="197" t="s">
        <v>475</v>
      </c>
      <c r="AJ55" s="808">
        <f>SUM(AK55:AQ55)</f>
        <v>44.5</v>
      </c>
      <c r="AK55" s="314">
        <v>17</v>
      </c>
      <c r="AL55" s="314">
        <v>19</v>
      </c>
      <c r="AM55" s="314">
        <v>1</v>
      </c>
      <c r="AN55" s="314">
        <v>1</v>
      </c>
      <c r="AO55" s="314">
        <v>4</v>
      </c>
      <c r="AP55" s="314">
        <v>1</v>
      </c>
      <c r="AQ55" s="314">
        <v>1.5</v>
      </c>
      <c r="AR55" s="312"/>
      <c r="AS55" s="312"/>
      <c r="AT55" s="312"/>
      <c r="AU55" s="312"/>
      <c r="AV55" s="312"/>
      <c r="AW55" s="802"/>
      <c r="AX55" s="197" t="s">
        <v>477</v>
      </c>
      <c r="AY55" s="808">
        <f>SUM(AZ55:BF55)</f>
        <v>846097.5</v>
      </c>
      <c r="AZ55" s="313">
        <v>87955</v>
      </c>
      <c r="BA55" s="313">
        <v>4362.5</v>
      </c>
      <c r="BB55" s="313">
        <v>107390</v>
      </c>
      <c r="BC55" s="313">
        <v>66300</v>
      </c>
      <c r="BD55" s="313">
        <v>175090</v>
      </c>
      <c r="BE55" s="313">
        <v>279000</v>
      </c>
      <c r="BF55" s="313">
        <v>126000</v>
      </c>
      <c r="BG55" s="312"/>
      <c r="BH55" s="312"/>
      <c r="BI55" s="312"/>
      <c r="BJ55" s="312"/>
      <c r="BK55" s="312"/>
      <c r="BL55" s="802"/>
      <c r="BM55" s="197" t="s">
        <v>477</v>
      </c>
      <c r="BN55" s="808">
        <f>SUM(BO55:BT55)</f>
        <v>14700</v>
      </c>
      <c r="BO55" s="314">
        <v>1600</v>
      </c>
      <c r="BP55" s="314">
        <v>2000</v>
      </c>
      <c r="BQ55" s="314">
        <v>1800</v>
      </c>
      <c r="BR55" s="314">
        <v>3000</v>
      </c>
      <c r="BS55" s="314">
        <v>2000</v>
      </c>
      <c r="BT55" s="314">
        <v>4300</v>
      </c>
      <c r="BU55" s="312"/>
      <c r="BV55" s="312"/>
      <c r="BW55" s="312"/>
      <c r="BX55" s="312"/>
      <c r="BY55" s="312"/>
      <c r="BZ55" s="312"/>
      <c r="CA55" s="802"/>
    </row>
    <row r="56" spans="2:79">
      <c r="B56" s="197" t="s">
        <v>485</v>
      </c>
      <c r="C56" s="797">
        <f>(U56+AJ56+AY56+BN56)</f>
        <v>861834.48100000003</v>
      </c>
      <c r="D56" s="796"/>
      <c r="E56" s="197" t="s">
        <v>468</v>
      </c>
      <c r="F56" s="796"/>
      <c r="G56" s="304"/>
      <c r="H56" s="304"/>
      <c r="I56" s="304"/>
      <c r="J56" s="304"/>
      <c r="K56" s="304"/>
      <c r="L56" s="304"/>
      <c r="M56" s="304"/>
      <c r="N56" s="304"/>
      <c r="O56" s="304"/>
      <c r="P56" s="304"/>
      <c r="Q56" s="304"/>
      <c r="R56" s="304"/>
      <c r="S56" s="802"/>
      <c r="T56" s="197" t="s">
        <v>468</v>
      </c>
      <c r="U56" s="809">
        <f>SUM(V56:AB56)</f>
        <v>39.481000000000002</v>
      </c>
      <c r="V56" s="315">
        <f>SUM(V54:V55)</f>
        <v>4.7399999999999993</v>
      </c>
      <c r="W56" s="315">
        <f t="shared" ref="W56:AG56" si="109">SUM(W54:W55)</f>
        <v>6.24</v>
      </c>
      <c r="X56" s="315">
        <f t="shared" si="109"/>
        <v>6.7750000000000004</v>
      </c>
      <c r="Y56" s="315">
        <f t="shared" si="109"/>
        <v>4.375</v>
      </c>
      <c r="Z56" s="315">
        <f t="shared" si="109"/>
        <v>6.87</v>
      </c>
      <c r="AA56" s="315">
        <f>SUM(AA54:AA55)</f>
        <v>6.6310000000000002</v>
      </c>
      <c r="AB56" s="315">
        <f t="shared" si="109"/>
        <v>3.8499999999999996</v>
      </c>
      <c r="AC56" s="315">
        <f t="shared" si="109"/>
        <v>0</v>
      </c>
      <c r="AD56" s="315">
        <f t="shared" si="109"/>
        <v>0</v>
      </c>
      <c r="AE56" s="315">
        <f t="shared" si="109"/>
        <v>0</v>
      </c>
      <c r="AF56" s="315">
        <f t="shared" si="109"/>
        <v>0</v>
      </c>
      <c r="AG56" s="315">
        <f t="shared" si="109"/>
        <v>0</v>
      </c>
      <c r="AH56" s="802"/>
      <c r="AI56" s="197" t="s">
        <v>474</v>
      </c>
      <c r="AJ56" s="809">
        <f>SUM(AK56:AQ56)</f>
        <v>997.5</v>
      </c>
      <c r="AK56" s="315">
        <f>SUM(AK54:AK55)</f>
        <v>239</v>
      </c>
      <c r="AL56" s="315">
        <f t="shared" ref="AL56:AV56" si="110">SUM(AL54:AL55)</f>
        <v>175</v>
      </c>
      <c r="AM56" s="315">
        <f t="shared" si="110"/>
        <v>184</v>
      </c>
      <c r="AN56" s="315">
        <f t="shared" si="110"/>
        <v>41</v>
      </c>
      <c r="AO56" s="315">
        <f t="shared" si="110"/>
        <v>117</v>
      </c>
      <c r="AP56" s="315">
        <f t="shared" si="110"/>
        <v>138</v>
      </c>
      <c r="AQ56" s="315">
        <f t="shared" si="110"/>
        <v>103.5</v>
      </c>
      <c r="AR56" s="315">
        <f t="shared" si="110"/>
        <v>0</v>
      </c>
      <c r="AS56" s="315">
        <f t="shared" si="110"/>
        <v>0</v>
      </c>
      <c r="AT56" s="315">
        <f t="shared" si="110"/>
        <v>0</v>
      </c>
      <c r="AU56" s="315">
        <f t="shared" si="110"/>
        <v>0</v>
      </c>
      <c r="AV56" s="315">
        <f t="shared" si="110"/>
        <v>0</v>
      </c>
      <c r="AW56" s="802"/>
      <c r="AX56" s="197" t="s">
        <v>474</v>
      </c>
      <c r="AY56" s="809">
        <f>SUM(AZ56:BF56)</f>
        <v>846097.5</v>
      </c>
      <c r="AZ56" s="315">
        <f>SUM(AZ54:AZ55)</f>
        <v>87955</v>
      </c>
      <c r="BA56" s="315">
        <f t="shared" ref="BA56:BK56" si="111">SUM(BA54:BA55)</f>
        <v>4362.5</v>
      </c>
      <c r="BB56" s="315">
        <f t="shared" si="111"/>
        <v>107390</v>
      </c>
      <c r="BC56" s="315">
        <f t="shared" si="111"/>
        <v>66300</v>
      </c>
      <c r="BD56" s="315">
        <f t="shared" si="111"/>
        <v>175090</v>
      </c>
      <c r="BE56" s="315">
        <f t="shared" si="111"/>
        <v>279000</v>
      </c>
      <c r="BF56" s="315">
        <f t="shared" si="111"/>
        <v>126000</v>
      </c>
      <c r="BG56" s="315">
        <f t="shared" si="111"/>
        <v>0</v>
      </c>
      <c r="BH56" s="315">
        <f t="shared" si="111"/>
        <v>0</v>
      </c>
      <c r="BI56" s="315">
        <f t="shared" si="111"/>
        <v>0</v>
      </c>
      <c r="BJ56" s="315">
        <f t="shared" si="111"/>
        <v>0</v>
      </c>
      <c r="BK56" s="315">
        <f t="shared" si="111"/>
        <v>0</v>
      </c>
      <c r="BL56" s="802"/>
      <c r="BM56" s="197" t="s">
        <v>474</v>
      </c>
      <c r="BN56" s="809">
        <f>SUM(BO56:BT56)</f>
        <v>14700</v>
      </c>
      <c r="BO56" s="315">
        <f>SUM(BO54:BO55)</f>
        <v>1600</v>
      </c>
      <c r="BP56" s="315">
        <f t="shared" ref="BP56:BZ56" si="112">SUM(BP54:BP55)</f>
        <v>2000</v>
      </c>
      <c r="BQ56" s="315">
        <f t="shared" si="112"/>
        <v>1800</v>
      </c>
      <c r="BR56" s="315">
        <f t="shared" si="112"/>
        <v>3000</v>
      </c>
      <c r="BS56" s="315">
        <f t="shared" si="112"/>
        <v>2000</v>
      </c>
      <c r="BT56" s="315">
        <f t="shared" si="112"/>
        <v>4300</v>
      </c>
      <c r="BU56" s="315">
        <f t="shared" si="112"/>
        <v>0</v>
      </c>
      <c r="BV56" s="315">
        <f t="shared" si="112"/>
        <v>0</v>
      </c>
      <c r="BW56" s="315">
        <f t="shared" si="112"/>
        <v>0</v>
      </c>
      <c r="BX56" s="315">
        <f t="shared" si="112"/>
        <v>0</v>
      </c>
      <c r="BY56" s="315">
        <f t="shared" si="112"/>
        <v>0</v>
      </c>
      <c r="BZ56" s="315">
        <f t="shared" si="112"/>
        <v>0</v>
      </c>
      <c r="CA56" s="802"/>
    </row>
    <row r="57" spans="2:79">
      <c r="B57" s="197"/>
      <c r="C57" s="796"/>
      <c r="D57" s="796"/>
      <c r="E57" s="197"/>
      <c r="F57" s="796"/>
      <c r="G57" s="304"/>
      <c r="H57" s="304"/>
      <c r="I57" s="304"/>
      <c r="J57" s="304"/>
      <c r="K57" s="304"/>
      <c r="L57" s="304"/>
      <c r="M57" s="304"/>
      <c r="N57" s="304"/>
      <c r="O57" s="304"/>
      <c r="P57" s="304"/>
      <c r="Q57" s="304"/>
      <c r="R57" s="304"/>
      <c r="S57" s="802"/>
      <c r="T57" s="197"/>
      <c r="U57" s="796"/>
      <c r="V57" s="304"/>
      <c r="W57" s="304"/>
      <c r="X57" s="304"/>
      <c r="Y57" s="304"/>
      <c r="Z57" s="304"/>
      <c r="AA57" s="304"/>
      <c r="AB57" s="304"/>
      <c r="AC57" s="304"/>
      <c r="AD57" s="304"/>
      <c r="AE57" s="304"/>
      <c r="AF57" s="304"/>
      <c r="AG57" s="304"/>
      <c r="AH57" s="802"/>
      <c r="AI57" s="197"/>
      <c r="AJ57" s="796"/>
      <c r="AK57" s="304"/>
      <c r="AL57" s="304"/>
      <c r="AM57" s="304"/>
      <c r="AN57" s="304"/>
      <c r="AO57" s="304"/>
      <c r="AP57" s="304"/>
      <c r="AQ57" s="304"/>
      <c r="AR57" s="304"/>
      <c r="AS57" s="304"/>
      <c r="AT57" s="304"/>
      <c r="AU57" s="304"/>
      <c r="AV57" s="304"/>
      <c r="AW57" s="802"/>
      <c r="AX57" s="197"/>
      <c r="AY57" s="796"/>
      <c r="AZ57" s="304"/>
      <c r="BA57" s="304"/>
      <c r="BB57" s="304"/>
      <c r="BC57" s="304"/>
      <c r="BD57" s="304"/>
      <c r="BE57" s="304"/>
      <c r="BF57" s="304"/>
      <c r="BG57" s="304"/>
      <c r="BH57" s="304"/>
      <c r="BI57" s="304"/>
      <c r="BJ57" s="304"/>
      <c r="BK57" s="304"/>
      <c r="BL57" s="802"/>
      <c r="BM57" s="197"/>
      <c r="BN57" s="796"/>
      <c r="BO57" s="304"/>
      <c r="BP57" s="304"/>
      <c r="BQ57" s="304"/>
      <c r="BR57" s="304"/>
      <c r="BS57" s="304"/>
      <c r="BT57" s="304"/>
      <c r="BU57" s="304"/>
      <c r="BV57" s="304"/>
      <c r="BW57" s="304"/>
      <c r="BX57" s="304"/>
      <c r="BY57" s="304"/>
      <c r="BZ57" s="304"/>
      <c r="CA57" s="802"/>
    </row>
    <row r="58" spans="2:79">
      <c r="B58" s="197" t="s">
        <v>463</v>
      </c>
      <c r="C58" s="798">
        <f>(U58+AJ58+AY58+BN58)</f>
        <v>424459.5</v>
      </c>
      <c r="D58" s="796"/>
      <c r="E58" s="197" t="s">
        <v>463</v>
      </c>
      <c r="F58" s="796"/>
      <c r="G58" s="304"/>
      <c r="H58" s="304"/>
      <c r="I58" s="304"/>
      <c r="J58" s="304"/>
      <c r="K58" s="304"/>
      <c r="L58" s="304"/>
      <c r="M58" s="304"/>
      <c r="N58" s="304"/>
      <c r="O58" s="304"/>
      <c r="P58" s="304"/>
      <c r="Q58" s="304"/>
      <c r="R58" s="304"/>
      <c r="S58" s="802"/>
      <c r="T58" s="197" t="s">
        <v>463</v>
      </c>
      <c r="U58" s="838">
        <f>SUM(V58:AB58)</f>
        <v>345837</v>
      </c>
      <c r="V58" s="839">
        <f>(V54*V27)</f>
        <v>30000</v>
      </c>
      <c r="W58" s="839">
        <f>(W54*W27)</f>
        <v>91625</v>
      </c>
      <c r="X58" s="839">
        <f>(X27*1.6)</f>
        <v>40000</v>
      </c>
      <c r="Y58" s="839">
        <f>(Y54*Y26)</f>
        <v>31500</v>
      </c>
      <c r="Z58" s="839">
        <f>(Z54*Z26)</f>
        <v>42000</v>
      </c>
      <c r="AA58" s="839">
        <f>(AA54*AA26)</f>
        <v>57791.999999999993</v>
      </c>
      <c r="AB58" s="839">
        <f>(AB54*AB26)</f>
        <v>52920</v>
      </c>
      <c r="AC58" s="839"/>
      <c r="AD58" s="839"/>
      <c r="AE58" s="839"/>
      <c r="AF58" s="839"/>
      <c r="AG58" s="839"/>
      <c r="AH58" s="802"/>
      <c r="AI58" s="197" t="s">
        <v>463</v>
      </c>
      <c r="AJ58" s="838">
        <f>SUM(AK58:AQ58)</f>
        <v>78622.5</v>
      </c>
      <c r="AK58" s="839">
        <f>(AK54*AK28)</f>
        <v>18315</v>
      </c>
      <c r="AL58" s="839">
        <f t="shared" ref="AL58:AQ58" si="113">(AL54*AL28)</f>
        <v>12870</v>
      </c>
      <c r="AM58" s="839">
        <f t="shared" si="113"/>
        <v>15097.5</v>
      </c>
      <c r="AN58" s="839">
        <f t="shared" si="113"/>
        <v>3300</v>
      </c>
      <c r="AO58" s="839">
        <f t="shared" si="113"/>
        <v>9322.5</v>
      </c>
      <c r="AP58" s="839">
        <f t="shared" si="113"/>
        <v>11302.5</v>
      </c>
      <c r="AQ58" s="839">
        <f t="shared" si="113"/>
        <v>8415</v>
      </c>
      <c r="AR58" s="839"/>
      <c r="AS58" s="839"/>
      <c r="AT58" s="839"/>
      <c r="AU58" s="839"/>
      <c r="AV58" s="839"/>
      <c r="AW58" s="802"/>
      <c r="AX58" s="197" t="s">
        <v>463</v>
      </c>
      <c r="AY58" s="838">
        <f>SUM(AZ58:BF58)</f>
        <v>0</v>
      </c>
      <c r="AZ58" s="839">
        <f>(AZ54*AZ27)</f>
        <v>0</v>
      </c>
      <c r="BA58" s="839">
        <f t="shared" ref="BA58:BK59" si="114">(BA54*BA27)</f>
        <v>0</v>
      </c>
      <c r="BB58" s="839">
        <f t="shared" si="114"/>
        <v>0</v>
      </c>
      <c r="BC58" s="839">
        <f t="shared" si="114"/>
        <v>0</v>
      </c>
      <c r="BD58" s="839">
        <f t="shared" si="114"/>
        <v>0</v>
      </c>
      <c r="BE58" s="839">
        <f t="shared" si="114"/>
        <v>0</v>
      </c>
      <c r="BF58" s="839">
        <f t="shared" si="114"/>
        <v>0</v>
      </c>
      <c r="BG58" s="839">
        <f t="shared" si="114"/>
        <v>0</v>
      </c>
      <c r="BH58" s="839">
        <f t="shared" si="114"/>
        <v>0</v>
      </c>
      <c r="BI58" s="839">
        <f t="shared" si="114"/>
        <v>0</v>
      </c>
      <c r="BJ58" s="839">
        <f t="shared" si="114"/>
        <v>0</v>
      </c>
      <c r="BK58" s="839">
        <f t="shared" si="114"/>
        <v>0</v>
      </c>
      <c r="BL58" s="802"/>
      <c r="BM58" s="197" t="s">
        <v>463</v>
      </c>
      <c r="BN58" s="838">
        <f>SUM(BO58:BT58)</f>
        <v>0</v>
      </c>
      <c r="BO58" s="839">
        <f>(BO54*BO27)</f>
        <v>0</v>
      </c>
      <c r="BP58" s="839">
        <f t="shared" ref="BP58:BZ59" si="115">(BP54*BP27)</f>
        <v>0</v>
      </c>
      <c r="BQ58" s="839">
        <f t="shared" si="115"/>
        <v>0</v>
      </c>
      <c r="BR58" s="839">
        <f t="shared" si="115"/>
        <v>0</v>
      </c>
      <c r="BS58" s="839">
        <f t="shared" si="115"/>
        <v>0</v>
      </c>
      <c r="BT58" s="839">
        <f t="shared" si="115"/>
        <v>0</v>
      </c>
      <c r="BU58" s="839">
        <f t="shared" si="115"/>
        <v>0</v>
      </c>
      <c r="BV58" s="839">
        <f t="shared" si="115"/>
        <v>0</v>
      </c>
      <c r="BW58" s="839">
        <f t="shared" si="115"/>
        <v>0</v>
      </c>
      <c r="BX58" s="839">
        <f t="shared" si="115"/>
        <v>0</v>
      </c>
      <c r="BY58" s="839">
        <f t="shared" si="115"/>
        <v>0</v>
      </c>
      <c r="BZ58" s="839">
        <f t="shared" si="115"/>
        <v>0</v>
      </c>
      <c r="CA58" s="802"/>
    </row>
    <row r="59" spans="2:79">
      <c r="B59" s="197" t="s">
        <v>464</v>
      </c>
      <c r="C59" s="798">
        <f>(U59+AJ59+AY59+BN59)</f>
        <v>8046759.25</v>
      </c>
      <c r="D59" s="796"/>
      <c r="E59" s="197" t="s">
        <v>464</v>
      </c>
      <c r="F59" s="796"/>
      <c r="G59" s="304"/>
      <c r="H59" s="304"/>
      <c r="I59" s="304"/>
      <c r="J59" s="304"/>
      <c r="K59" s="304"/>
      <c r="L59" s="304"/>
      <c r="M59" s="304"/>
      <c r="N59" s="304"/>
      <c r="O59" s="304"/>
      <c r="P59" s="304"/>
      <c r="Q59" s="304"/>
      <c r="R59" s="304"/>
      <c r="S59" s="802"/>
      <c r="T59" s="197" t="s">
        <v>464</v>
      </c>
      <c r="U59" s="838">
        <f>SUM(V59:AB59)</f>
        <v>688146</v>
      </c>
      <c r="V59" s="839">
        <f>(V55*V28)</f>
        <v>43895.999999999993</v>
      </c>
      <c r="W59" s="839">
        <f>(W55*W28)</f>
        <v>64374.999999999993</v>
      </c>
      <c r="X59" s="839">
        <f>((X55-1)*X28)+1*X26</f>
        <v>146375</v>
      </c>
      <c r="Y59" s="839">
        <f>(Y55*Y28)</f>
        <v>90625</v>
      </c>
      <c r="Z59" s="839">
        <f>(Z55*Z28)</f>
        <v>146750</v>
      </c>
      <c r="AA59" s="839">
        <f>(AA55*AA28)</f>
        <v>131375</v>
      </c>
      <c r="AB59" s="839">
        <f>(AB55*AB28)</f>
        <v>64750</v>
      </c>
      <c r="AC59" s="839"/>
      <c r="AD59" s="839"/>
      <c r="AE59" s="839"/>
      <c r="AF59" s="839"/>
      <c r="AG59" s="839"/>
      <c r="AH59" s="802"/>
      <c r="AI59" s="197" t="s">
        <v>476</v>
      </c>
      <c r="AJ59" s="838">
        <f>SUM(AK59:AQ59)</f>
        <v>0</v>
      </c>
      <c r="AK59" s="839">
        <f>(AK55*0)</f>
        <v>0</v>
      </c>
      <c r="AL59" s="839">
        <f t="shared" ref="AL59:AQ59" si="116">(AL55*0)</f>
        <v>0</v>
      </c>
      <c r="AM59" s="839">
        <f t="shared" si="116"/>
        <v>0</v>
      </c>
      <c r="AN59" s="839">
        <f t="shared" si="116"/>
        <v>0</v>
      </c>
      <c r="AO59" s="839">
        <f t="shared" si="116"/>
        <v>0</v>
      </c>
      <c r="AP59" s="839">
        <f t="shared" si="116"/>
        <v>0</v>
      </c>
      <c r="AQ59" s="839">
        <f t="shared" si="116"/>
        <v>0</v>
      </c>
      <c r="AR59" s="839"/>
      <c r="AS59" s="839"/>
      <c r="AT59" s="839"/>
      <c r="AU59" s="839"/>
      <c r="AV59" s="839"/>
      <c r="AW59" s="802"/>
      <c r="AX59" s="197" t="s">
        <v>464</v>
      </c>
      <c r="AY59" s="838">
        <f>SUM(AZ59:BF59)</f>
        <v>3714513.25</v>
      </c>
      <c r="AZ59" s="839">
        <f>(AZ55*AZ28)</f>
        <v>425147.5</v>
      </c>
      <c r="BA59" s="839">
        <f t="shared" si="114"/>
        <v>113851.75</v>
      </c>
      <c r="BB59" s="839">
        <f t="shared" si="114"/>
        <v>887501.99999999988</v>
      </c>
      <c r="BC59" s="839">
        <f t="shared" si="114"/>
        <v>432500</v>
      </c>
      <c r="BD59" s="839">
        <f t="shared" si="114"/>
        <v>651380</v>
      </c>
      <c r="BE59" s="839">
        <f t="shared" si="114"/>
        <v>808030</v>
      </c>
      <c r="BF59" s="839">
        <f>(BF55*BF28)</f>
        <v>396102</v>
      </c>
      <c r="BG59" s="839">
        <f t="shared" si="114"/>
        <v>0</v>
      </c>
      <c r="BH59" s="839">
        <f t="shared" si="114"/>
        <v>0</v>
      </c>
      <c r="BI59" s="839">
        <f t="shared" si="114"/>
        <v>0</v>
      </c>
      <c r="BJ59" s="839">
        <f t="shared" si="114"/>
        <v>0</v>
      </c>
      <c r="BK59" s="839">
        <f t="shared" si="114"/>
        <v>0</v>
      </c>
      <c r="BL59" s="802"/>
      <c r="BM59" s="197" t="s">
        <v>464</v>
      </c>
      <c r="BN59" s="838">
        <f>SUM(BO59:BT59)</f>
        <v>3644100</v>
      </c>
      <c r="BO59" s="839">
        <f>(BO55*BO28)</f>
        <v>443000</v>
      </c>
      <c r="BP59" s="839">
        <f t="shared" si="115"/>
        <v>574400</v>
      </c>
      <c r="BQ59" s="839">
        <f t="shared" si="115"/>
        <v>514600.00000000006</v>
      </c>
      <c r="BR59" s="839">
        <f t="shared" si="115"/>
        <v>826199.99999999988</v>
      </c>
      <c r="BS59" s="839">
        <f t="shared" si="115"/>
        <v>574400</v>
      </c>
      <c r="BT59" s="839">
        <f t="shared" si="115"/>
        <v>711500</v>
      </c>
      <c r="BU59" s="839">
        <f t="shared" si="115"/>
        <v>0</v>
      </c>
      <c r="BV59" s="839">
        <f t="shared" si="115"/>
        <v>0</v>
      </c>
      <c r="BW59" s="839">
        <f t="shared" si="115"/>
        <v>0</v>
      </c>
      <c r="BX59" s="839">
        <f t="shared" si="115"/>
        <v>0</v>
      </c>
      <c r="BY59" s="839">
        <f t="shared" si="115"/>
        <v>0</v>
      </c>
      <c r="BZ59" s="839">
        <f t="shared" si="115"/>
        <v>0</v>
      </c>
      <c r="CA59" s="802"/>
    </row>
    <row r="60" spans="2:79">
      <c r="B60" s="197" t="s">
        <v>465</v>
      </c>
      <c r="C60" s="798">
        <f>(U60+AJ60+AY60+BN60)</f>
        <v>8471218.75</v>
      </c>
      <c r="D60" s="796"/>
      <c r="E60" s="197" t="s">
        <v>465</v>
      </c>
      <c r="F60" s="796"/>
      <c r="G60" s="304"/>
      <c r="H60" s="304"/>
      <c r="I60" s="304"/>
      <c r="J60" s="304"/>
      <c r="K60" s="304"/>
      <c r="L60" s="304"/>
      <c r="M60" s="304"/>
      <c r="N60" s="304"/>
      <c r="O60" s="304"/>
      <c r="P60" s="304"/>
      <c r="Q60" s="304"/>
      <c r="R60" s="304"/>
      <c r="S60" s="802"/>
      <c r="T60" s="197" t="s">
        <v>465</v>
      </c>
      <c r="U60" s="838">
        <f>SUM(V60:AB60)</f>
        <v>1033983</v>
      </c>
      <c r="V60" s="840">
        <f>SUM(V58:V59)</f>
        <v>73896</v>
      </c>
      <c r="W60" s="840">
        <f t="shared" ref="W60:AG60" si="117">SUM(W58:W59)</f>
        <v>156000</v>
      </c>
      <c r="X60" s="840">
        <f t="shared" si="117"/>
        <v>186375</v>
      </c>
      <c r="Y60" s="840">
        <f t="shared" si="117"/>
        <v>122125</v>
      </c>
      <c r="Z60" s="840">
        <f t="shared" si="117"/>
        <v>188750</v>
      </c>
      <c r="AA60" s="840">
        <f t="shared" si="117"/>
        <v>189167</v>
      </c>
      <c r="AB60" s="840">
        <f t="shared" si="117"/>
        <v>117670</v>
      </c>
      <c r="AC60" s="840">
        <f t="shared" si="117"/>
        <v>0</v>
      </c>
      <c r="AD60" s="840">
        <f t="shared" si="117"/>
        <v>0</v>
      </c>
      <c r="AE60" s="840">
        <f t="shared" si="117"/>
        <v>0</v>
      </c>
      <c r="AF60" s="840">
        <f t="shared" si="117"/>
        <v>0</v>
      </c>
      <c r="AG60" s="840">
        <f t="shared" si="117"/>
        <v>0</v>
      </c>
      <c r="AH60" s="802"/>
      <c r="AI60" s="197" t="s">
        <v>465</v>
      </c>
      <c r="AJ60" s="810">
        <f>SUM(AK60:AQ60)</f>
        <v>78622.5</v>
      </c>
      <c r="AK60" s="316">
        <f>SUM(AK58:AK59)</f>
        <v>18315</v>
      </c>
      <c r="AL60" s="316">
        <f t="shared" ref="AL60:AV60" si="118">SUM(AL58:AL59)</f>
        <v>12870</v>
      </c>
      <c r="AM60" s="316">
        <f t="shared" si="118"/>
        <v>15097.5</v>
      </c>
      <c r="AN60" s="316">
        <f t="shared" si="118"/>
        <v>3300</v>
      </c>
      <c r="AO60" s="316">
        <f t="shared" si="118"/>
        <v>9322.5</v>
      </c>
      <c r="AP60" s="316">
        <f t="shared" si="118"/>
        <v>11302.5</v>
      </c>
      <c r="AQ60" s="316">
        <f t="shared" si="118"/>
        <v>8415</v>
      </c>
      <c r="AR60" s="316">
        <f t="shared" si="118"/>
        <v>0</v>
      </c>
      <c r="AS60" s="316">
        <f t="shared" si="118"/>
        <v>0</v>
      </c>
      <c r="AT60" s="316">
        <f t="shared" si="118"/>
        <v>0</v>
      </c>
      <c r="AU60" s="316">
        <f t="shared" si="118"/>
        <v>0</v>
      </c>
      <c r="AV60" s="316">
        <f t="shared" si="118"/>
        <v>0</v>
      </c>
      <c r="AW60" s="802"/>
      <c r="AX60" s="197" t="s">
        <v>465</v>
      </c>
      <c r="AY60" s="838">
        <f>SUM(AZ60:BF60)</f>
        <v>3714513.25</v>
      </c>
      <c r="AZ60" s="840">
        <f>SUM(AZ58:AZ59)</f>
        <v>425147.5</v>
      </c>
      <c r="BA60" s="840">
        <f t="shared" ref="BA60:BK60" si="119">SUM(BA58:BA59)</f>
        <v>113851.75</v>
      </c>
      <c r="BB60" s="840">
        <f t="shared" si="119"/>
        <v>887501.99999999988</v>
      </c>
      <c r="BC60" s="840">
        <f t="shared" si="119"/>
        <v>432500</v>
      </c>
      <c r="BD60" s="840">
        <f t="shared" si="119"/>
        <v>651380</v>
      </c>
      <c r="BE60" s="840">
        <f t="shared" si="119"/>
        <v>808030</v>
      </c>
      <c r="BF60" s="840">
        <f t="shared" si="119"/>
        <v>396102</v>
      </c>
      <c r="BG60" s="840">
        <f t="shared" si="119"/>
        <v>0</v>
      </c>
      <c r="BH60" s="840">
        <f t="shared" si="119"/>
        <v>0</v>
      </c>
      <c r="BI60" s="840">
        <f t="shared" si="119"/>
        <v>0</v>
      </c>
      <c r="BJ60" s="840">
        <f t="shared" si="119"/>
        <v>0</v>
      </c>
      <c r="BK60" s="840">
        <f t="shared" si="119"/>
        <v>0</v>
      </c>
      <c r="BL60" s="802"/>
      <c r="BM60" s="197" t="s">
        <v>465</v>
      </c>
      <c r="BN60" s="838">
        <f>SUM(BO60:BT60)</f>
        <v>3644100</v>
      </c>
      <c r="BO60" s="840">
        <f>SUM(BO58:BO59)</f>
        <v>443000</v>
      </c>
      <c r="BP60" s="840">
        <f t="shared" ref="BP60:BZ60" si="120">SUM(BP58:BP59)</f>
        <v>574400</v>
      </c>
      <c r="BQ60" s="840">
        <f t="shared" si="120"/>
        <v>514600.00000000006</v>
      </c>
      <c r="BR60" s="840">
        <f t="shared" si="120"/>
        <v>826199.99999999988</v>
      </c>
      <c r="BS60" s="840">
        <f t="shared" si="120"/>
        <v>574400</v>
      </c>
      <c r="BT60" s="840">
        <f t="shared" si="120"/>
        <v>711500</v>
      </c>
      <c r="BU60" s="840">
        <f t="shared" si="120"/>
        <v>0</v>
      </c>
      <c r="BV60" s="840">
        <f t="shared" si="120"/>
        <v>0</v>
      </c>
      <c r="BW60" s="840">
        <f t="shared" si="120"/>
        <v>0</v>
      </c>
      <c r="BX60" s="840">
        <f t="shared" si="120"/>
        <v>0</v>
      </c>
      <c r="BY60" s="840">
        <f t="shared" si="120"/>
        <v>0</v>
      </c>
      <c r="BZ60" s="840">
        <f t="shared" si="120"/>
        <v>0</v>
      </c>
      <c r="CA60" s="802"/>
    </row>
    <row r="61" spans="2:79">
      <c r="B61" s="197"/>
      <c r="C61" s="796"/>
      <c r="D61" s="796"/>
      <c r="E61" s="197"/>
      <c r="F61" s="796"/>
      <c r="G61" s="304"/>
      <c r="H61" s="304"/>
      <c r="I61" s="304"/>
      <c r="J61" s="304"/>
      <c r="K61" s="304"/>
      <c r="L61" s="304"/>
      <c r="M61" s="304"/>
      <c r="N61" s="304"/>
      <c r="O61" s="304"/>
      <c r="P61" s="304"/>
      <c r="Q61" s="304"/>
      <c r="R61" s="304"/>
      <c r="S61" s="802"/>
      <c r="T61" s="197"/>
      <c r="U61" s="796"/>
      <c r="V61" s="304"/>
      <c r="W61" s="304"/>
      <c r="X61" s="304"/>
      <c r="Y61" s="304"/>
      <c r="Z61" s="304"/>
      <c r="AA61" s="304"/>
      <c r="AB61" s="304"/>
      <c r="AC61" s="304"/>
      <c r="AD61" s="304"/>
      <c r="AE61" s="304"/>
      <c r="AF61" s="304"/>
      <c r="AG61" s="304"/>
      <c r="AH61" s="802"/>
      <c r="AI61" s="197"/>
      <c r="AJ61" s="796"/>
      <c r="AK61" s="304"/>
      <c r="AL61" s="304"/>
      <c r="AM61" s="304"/>
      <c r="AN61" s="304"/>
      <c r="AO61" s="304"/>
      <c r="AP61" s="304"/>
      <c r="AQ61" s="304"/>
      <c r="AR61" s="304"/>
      <c r="AS61" s="304"/>
      <c r="AT61" s="304"/>
      <c r="AU61" s="304"/>
      <c r="AV61" s="304"/>
      <c r="AW61" s="802"/>
      <c r="AX61" s="197"/>
      <c r="AY61" s="796"/>
      <c r="AZ61" s="304"/>
      <c r="BA61" s="304"/>
      <c r="BB61" s="304"/>
      <c r="BC61" s="304"/>
      <c r="BD61" s="304"/>
      <c r="BE61" s="304"/>
      <c r="BF61" s="304"/>
      <c r="BG61" s="304"/>
      <c r="BH61" s="304"/>
      <c r="BI61" s="304"/>
      <c r="BJ61" s="304"/>
      <c r="BK61" s="304"/>
      <c r="BL61" s="802"/>
      <c r="BM61" s="197"/>
      <c r="BN61" s="796"/>
      <c r="BO61" s="304"/>
      <c r="BP61" s="304"/>
      <c r="BQ61" s="304"/>
      <c r="BR61" s="304"/>
      <c r="BS61" s="304"/>
      <c r="BT61" s="304"/>
      <c r="BU61" s="304"/>
      <c r="BV61" s="304"/>
      <c r="BW61" s="304"/>
      <c r="BX61" s="304"/>
      <c r="BY61" s="304"/>
      <c r="BZ61" s="304"/>
      <c r="CA61" s="802"/>
    </row>
    <row r="62" spans="2:79">
      <c r="B62" s="317" t="s">
        <v>471</v>
      </c>
      <c r="C62" s="798">
        <f>(C60-C38)</f>
        <v>2924057.0558418222</v>
      </c>
      <c r="D62" s="796"/>
      <c r="E62" s="317" t="s">
        <v>471</v>
      </c>
      <c r="F62" s="796"/>
      <c r="G62" s="304"/>
      <c r="H62" s="304"/>
      <c r="I62" s="304"/>
      <c r="J62" s="304"/>
      <c r="K62" s="304"/>
      <c r="L62" s="304"/>
      <c r="M62" s="304"/>
      <c r="N62" s="304"/>
      <c r="O62" s="304"/>
      <c r="P62" s="304"/>
      <c r="Q62" s="304"/>
      <c r="R62" s="304"/>
      <c r="S62" s="802"/>
      <c r="T62" s="317" t="s">
        <v>471</v>
      </c>
      <c r="U62" s="838">
        <f>(U60-U38)</f>
        <v>525954.79940999998</v>
      </c>
      <c r="V62" s="841">
        <f t="shared" ref="V62:AG62" si="121">(V60-V38)</f>
        <v>790.17999999999302</v>
      </c>
      <c r="W62" s="841">
        <f t="shared" si="121"/>
        <v>88109.602419999996</v>
      </c>
      <c r="X62" s="841">
        <f t="shared" si="121"/>
        <v>106205.36138999999</v>
      </c>
      <c r="Y62" s="841">
        <f t="shared" si="121"/>
        <v>45261.14</v>
      </c>
      <c r="Z62" s="841">
        <f t="shared" si="121"/>
        <v>118113.31</v>
      </c>
      <c r="AA62" s="841">
        <f t="shared" si="121"/>
        <v>114930.5456</v>
      </c>
      <c r="AB62" s="841">
        <f t="shared" si="121"/>
        <v>52544.66</v>
      </c>
      <c r="AC62" s="841">
        <f t="shared" si="121"/>
        <v>-6329.38</v>
      </c>
      <c r="AD62" s="841">
        <f t="shared" si="121"/>
        <v>0</v>
      </c>
      <c r="AE62" s="841">
        <f t="shared" si="121"/>
        <v>0</v>
      </c>
      <c r="AF62" s="841">
        <f t="shared" si="121"/>
        <v>-5698.9</v>
      </c>
      <c r="AG62" s="841">
        <f t="shared" si="121"/>
        <v>-1717</v>
      </c>
      <c r="AH62" s="802"/>
      <c r="AI62" s="317" t="s">
        <v>471</v>
      </c>
      <c r="AJ62" s="838">
        <f>(AJ60-AJ38)</f>
        <v>-207810.90879000002</v>
      </c>
      <c r="AK62" s="841">
        <f>(AK60-AK38)</f>
        <v>-15255.400000000001</v>
      </c>
      <c r="AL62" s="841">
        <f t="shared" ref="AL62:AV62" si="122">(AL60-AL38)</f>
        <v>-26883.973700000002</v>
      </c>
      <c r="AM62" s="841">
        <f t="shared" si="122"/>
        <v>-34117.915410000001</v>
      </c>
      <c r="AN62" s="841">
        <f t="shared" si="122"/>
        <v>-31761.929999999993</v>
      </c>
      <c r="AO62" s="841">
        <f t="shared" si="122"/>
        <v>-32878.339999999997</v>
      </c>
      <c r="AP62" s="841">
        <f t="shared" si="122"/>
        <v>-27053.18</v>
      </c>
      <c r="AQ62" s="841">
        <f t="shared" si="122"/>
        <v>-39860.169680000006</v>
      </c>
      <c r="AR62" s="841">
        <f t="shared" si="122"/>
        <v>0</v>
      </c>
      <c r="AS62" s="841">
        <f t="shared" si="122"/>
        <v>0</v>
      </c>
      <c r="AT62" s="841">
        <f t="shared" si="122"/>
        <v>-86.4</v>
      </c>
      <c r="AU62" s="841">
        <f t="shared" si="122"/>
        <v>-301.14</v>
      </c>
      <c r="AV62" s="841">
        <f t="shared" si="122"/>
        <v>-1125.5999999999999</v>
      </c>
      <c r="AW62" s="802"/>
      <c r="AX62" s="317" t="s">
        <v>471</v>
      </c>
      <c r="AY62" s="838">
        <f>(AY60-AY38)</f>
        <v>1902357.9746619049</v>
      </c>
      <c r="AZ62" s="841">
        <f>(AZ60-AZ38)</f>
        <v>236624.99751904764</v>
      </c>
      <c r="BA62" s="841">
        <f t="shared" ref="BA62:BK62" si="123">(BA60-BA38)</f>
        <v>-34256.670000000013</v>
      </c>
      <c r="BB62" s="841">
        <f t="shared" si="123"/>
        <v>444160.99999999983</v>
      </c>
      <c r="BC62" s="841">
        <f t="shared" si="123"/>
        <v>38631.56</v>
      </c>
      <c r="BD62" s="841">
        <f t="shared" si="123"/>
        <v>337717.52</v>
      </c>
      <c r="BE62" s="841">
        <f t="shared" si="123"/>
        <v>611586.77</v>
      </c>
      <c r="BF62" s="841">
        <f t="shared" si="123"/>
        <v>267892.7971428571</v>
      </c>
      <c r="BG62" s="841">
        <f t="shared" si="123"/>
        <v>-2346</v>
      </c>
      <c r="BH62" s="841">
        <f t="shared" si="123"/>
        <v>-2333.4</v>
      </c>
      <c r="BI62" s="841">
        <f t="shared" si="123"/>
        <v>-2360</v>
      </c>
      <c r="BJ62" s="841">
        <f t="shared" si="123"/>
        <v>-2424.6</v>
      </c>
      <c r="BK62" s="841">
        <f t="shared" si="123"/>
        <v>-2040</v>
      </c>
      <c r="BL62" s="802"/>
      <c r="BM62" s="317" t="s">
        <v>471</v>
      </c>
      <c r="BN62" s="838">
        <f>(BN60-BN38)</f>
        <v>703555.19055991713</v>
      </c>
      <c r="BO62" s="841">
        <f>(BO60-BO38)</f>
        <v>171709.21172991698</v>
      </c>
      <c r="BP62" s="841">
        <f>(BP60-BP38)</f>
        <v>74304.293599999975</v>
      </c>
      <c r="BQ62" s="841">
        <f>(BQ60-BQ38)</f>
        <v>-219681.80696999986</v>
      </c>
      <c r="BR62" s="841">
        <f t="shared" ref="BR62:BZ62" si="124">(BR60-BR38)</f>
        <v>230978.55499999993</v>
      </c>
      <c r="BS62" s="841">
        <f t="shared" si="124"/>
        <v>206160.07</v>
      </c>
      <c r="BT62" s="841">
        <f t="shared" si="124"/>
        <v>240084.86720000004</v>
      </c>
      <c r="BU62" s="841">
        <f t="shared" si="124"/>
        <v>0</v>
      </c>
      <c r="BV62" s="841">
        <f t="shared" si="124"/>
        <v>0</v>
      </c>
      <c r="BW62" s="841">
        <f t="shared" si="124"/>
        <v>0</v>
      </c>
      <c r="BX62" s="841">
        <f t="shared" si="124"/>
        <v>0</v>
      </c>
      <c r="BY62" s="841">
        <f t="shared" si="124"/>
        <v>-246.5</v>
      </c>
      <c r="BZ62" s="841">
        <f t="shared" si="124"/>
        <v>0</v>
      </c>
      <c r="CA62" s="802"/>
    </row>
    <row r="63" spans="2:79">
      <c r="B63" s="294"/>
      <c r="C63" s="799">
        <f>IF(C60&gt;0,C62/C60,0)</f>
        <v>0.34517548680251259</v>
      </c>
      <c r="D63" s="796"/>
      <c r="E63" s="294"/>
      <c r="F63" s="796"/>
      <c r="G63" s="304"/>
      <c r="H63" s="304"/>
      <c r="I63" s="304"/>
      <c r="J63" s="304"/>
      <c r="K63" s="304"/>
      <c r="L63" s="304"/>
      <c r="M63" s="304"/>
      <c r="N63" s="304"/>
      <c r="O63" s="304"/>
      <c r="P63" s="304"/>
      <c r="Q63" s="304"/>
      <c r="R63" s="304"/>
      <c r="S63" s="802"/>
      <c r="T63" s="294"/>
      <c r="U63" s="799">
        <f>IF(U60&gt;0,U62/U60,0)</f>
        <v>0.50866871061709906</v>
      </c>
      <c r="V63" s="318">
        <f t="shared" ref="V63:AG63" si="125">IF(V60&gt;0,V62/V60,0)</f>
        <v>1.0693136299664299E-2</v>
      </c>
      <c r="W63" s="318">
        <f t="shared" si="125"/>
        <v>0.56480514371794865</v>
      </c>
      <c r="X63" s="318">
        <f t="shared" si="125"/>
        <v>0.56984768016096576</v>
      </c>
      <c r="Y63" s="318">
        <f t="shared" si="125"/>
        <v>0.37061322415557829</v>
      </c>
      <c r="Z63" s="318">
        <f t="shared" si="125"/>
        <v>0.62576588079470197</v>
      </c>
      <c r="AA63" s="318">
        <f t="shared" si="125"/>
        <v>0.60756128500214091</v>
      </c>
      <c r="AB63" s="318">
        <f t="shared" si="125"/>
        <v>0.4465425342058299</v>
      </c>
      <c r="AC63" s="318">
        <f t="shared" si="125"/>
        <v>0</v>
      </c>
      <c r="AD63" s="318">
        <f t="shared" si="125"/>
        <v>0</v>
      </c>
      <c r="AE63" s="318">
        <f t="shared" si="125"/>
        <v>0</v>
      </c>
      <c r="AF63" s="318">
        <f t="shared" si="125"/>
        <v>0</v>
      </c>
      <c r="AG63" s="318">
        <f t="shared" si="125"/>
        <v>0</v>
      </c>
      <c r="AH63" s="802"/>
      <c r="AI63" s="294"/>
      <c r="AJ63" s="799">
        <f>IF(AJ60&gt;0,AJ62/AJ60,0)</f>
        <v>-2.6431480656300681</v>
      </c>
      <c r="AK63" s="318">
        <f>IF(AK60&gt;0,AK62/AK60,0)</f>
        <v>-0.83294567294567301</v>
      </c>
      <c r="AL63" s="318">
        <f t="shared" ref="AL63:AV63" si="126">IF(AL60&gt;0,AL62/AL60,0)</f>
        <v>-2.0888868453768454</v>
      </c>
      <c r="AM63" s="318">
        <f t="shared" si="126"/>
        <v>-2.259838742175857</v>
      </c>
      <c r="AN63" s="318">
        <f t="shared" si="126"/>
        <v>-9.6248272727272699</v>
      </c>
      <c r="AO63" s="318">
        <f t="shared" si="126"/>
        <v>-3.5267728613569318</v>
      </c>
      <c r="AP63" s="318">
        <f t="shared" si="126"/>
        <v>-2.393557177615572</v>
      </c>
      <c r="AQ63" s="318">
        <f t="shared" si="126"/>
        <v>-4.7367997243018429</v>
      </c>
      <c r="AR63" s="318">
        <f t="shared" si="126"/>
        <v>0</v>
      </c>
      <c r="AS63" s="318">
        <f t="shared" si="126"/>
        <v>0</v>
      </c>
      <c r="AT63" s="318">
        <f t="shared" si="126"/>
        <v>0</v>
      </c>
      <c r="AU63" s="318">
        <f t="shared" si="126"/>
        <v>0</v>
      </c>
      <c r="AV63" s="318">
        <f t="shared" si="126"/>
        <v>0</v>
      </c>
      <c r="AW63" s="802"/>
      <c r="AX63" s="294"/>
      <c r="AY63" s="799">
        <f>IF(AY60&gt;0,AY62/AY60,0)</f>
        <v>0.51214192725302699</v>
      </c>
      <c r="AZ63" s="318">
        <f>IF(AZ60&gt;0,AZ62/AZ60,0)</f>
        <v>0.55657153698198303</v>
      </c>
      <c r="BA63" s="318">
        <f t="shared" ref="BA63:BK63" si="127">IF(BA60&gt;0,BA62/BA60,0)</f>
        <v>-0.30088839214153507</v>
      </c>
      <c r="BB63" s="318">
        <f t="shared" si="127"/>
        <v>0.50046197078992483</v>
      </c>
      <c r="BC63" s="318">
        <f t="shared" si="127"/>
        <v>8.9321526011560695E-2</v>
      </c>
      <c r="BD63" s="318">
        <f t="shared" si="127"/>
        <v>0.51846467499769722</v>
      </c>
      <c r="BE63" s="318">
        <f t="shared" si="127"/>
        <v>0.75688621709589998</v>
      </c>
      <c r="BF63" s="318">
        <f t="shared" si="127"/>
        <v>0.67632275813516995</v>
      </c>
      <c r="BG63" s="318">
        <f t="shared" si="127"/>
        <v>0</v>
      </c>
      <c r="BH63" s="318">
        <f t="shared" si="127"/>
        <v>0</v>
      </c>
      <c r="BI63" s="318">
        <f t="shared" si="127"/>
        <v>0</v>
      </c>
      <c r="BJ63" s="318">
        <f t="shared" si="127"/>
        <v>0</v>
      </c>
      <c r="BK63" s="318">
        <f t="shared" si="127"/>
        <v>0</v>
      </c>
      <c r="BL63" s="802"/>
      <c r="BM63" s="294"/>
      <c r="BN63" s="799">
        <f>IF(BN60&gt;0,BN62/BN60,0)</f>
        <v>0.19306692751568758</v>
      </c>
      <c r="BO63" s="318">
        <f>IF(BO60&gt;0,BO62/BO60,0)</f>
        <v>0.38760544408559139</v>
      </c>
      <c r="BP63" s="318">
        <f t="shared" ref="BP63:BZ63" si="128">IF(BP60&gt;0,BP62/BP60,0)</f>
        <v>0.12935984261838435</v>
      </c>
      <c r="BQ63" s="318">
        <f t="shared" si="128"/>
        <v>-0.42689818688301562</v>
      </c>
      <c r="BR63" s="318">
        <f t="shared" si="128"/>
        <v>0.27956736262406195</v>
      </c>
      <c r="BS63" s="318">
        <f t="shared" si="128"/>
        <v>0.35891377089136489</v>
      </c>
      <c r="BT63" s="318">
        <f t="shared" si="128"/>
        <v>0.33743480983836971</v>
      </c>
      <c r="BU63" s="318">
        <f t="shared" si="128"/>
        <v>0</v>
      </c>
      <c r="BV63" s="318">
        <f t="shared" si="128"/>
        <v>0</v>
      </c>
      <c r="BW63" s="318">
        <f t="shared" si="128"/>
        <v>0</v>
      </c>
      <c r="BX63" s="318">
        <f t="shared" si="128"/>
        <v>0</v>
      </c>
      <c r="BY63" s="318">
        <f t="shared" si="128"/>
        <v>0</v>
      </c>
      <c r="BZ63" s="318">
        <f t="shared" si="128"/>
        <v>0</v>
      </c>
      <c r="CA63" s="802"/>
    </row>
    <row r="64" spans="2:79">
      <c r="B64" s="317" t="s">
        <v>472</v>
      </c>
      <c r="C64" s="798">
        <f>(C60-C38-C43-C48)</f>
        <v>2040320.8488818221</v>
      </c>
      <c r="D64" s="796"/>
      <c r="E64" s="317" t="s">
        <v>472</v>
      </c>
      <c r="F64" s="796"/>
      <c r="G64" s="304"/>
      <c r="H64" s="304"/>
      <c r="I64" s="304"/>
      <c r="J64" s="304"/>
      <c r="K64" s="304"/>
      <c r="L64" s="304"/>
      <c r="M64" s="304"/>
      <c r="N64" s="304"/>
      <c r="O64" s="304"/>
      <c r="P64" s="304"/>
      <c r="Q64" s="304"/>
      <c r="R64" s="304"/>
      <c r="S64" s="802"/>
      <c r="T64" s="317" t="s">
        <v>472</v>
      </c>
      <c r="U64" s="838">
        <f>(U60-U38-U43-U48)</f>
        <v>258562.71040999994</v>
      </c>
      <c r="V64" s="841">
        <f>(V60-V38-V43-V48)</f>
        <v>-38667.606400000004</v>
      </c>
      <c r="W64" s="841">
        <f t="shared" ref="W64:AG64" si="129">(W60-W38-W43-W48)</f>
        <v>56411.306219999999</v>
      </c>
      <c r="X64" s="841">
        <f t="shared" si="129"/>
        <v>66981.289389999991</v>
      </c>
      <c r="Y64" s="841">
        <f t="shared" si="129"/>
        <v>9755.768799999998</v>
      </c>
      <c r="Z64" s="841">
        <f t="shared" si="129"/>
        <v>82645.853600000002</v>
      </c>
      <c r="AA64" s="841">
        <f t="shared" si="129"/>
        <v>79117.378799999991</v>
      </c>
      <c r="AB64" s="841">
        <f t="shared" si="129"/>
        <v>2318.7200000000012</v>
      </c>
      <c r="AC64" s="841">
        <f t="shared" si="129"/>
        <v>-23670.86</v>
      </c>
      <c r="AD64" s="841">
        <f t="shared" si="129"/>
        <v>-17341.48</v>
      </c>
      <c r="AE64" s="841">
        <f t="shared" si="129"/>
        <v>-17341.48</v>
      </c>
      <c r="AF64" s="841">
        <f t="shared" si="129"/>
        <v>-23040.379999999997</v>
      </c>
      <c r="AG64" s="841">
        <f t="shared" si="129"/>
        <v>-19058.48</v>
      </c>
      <c r="AH64" s="802"/>
      <c r="AI64" s="317" t="s">
        <v>472</v>
      </c>
      <c r="AJ64" s="838">
        <f>(AJ60-AJ38-AJ43-AJ48)</f>
        <v>-482104.51435000001</v>
      </c>
      <c r="AK64" s="841">
        <f>(AK60-AK38-AK43-AK48)</f>
        <v>-59295.764359999994</v>
      </c>
      <c r="AL64" s="841">
        <f t="shared" ref="AL64:AV64" si="130">(AL60-AL38-AL43-AL48)</f>
        <v>-59610.5625</v>
      </c>
      <c r="AM64" s="841">
        <f t="shared" si="130"/>
        <v>-77101.277409999995</v>
      </c>
      <c r="AN64" s="841">
        <f t="shared" si="130"/>
        <v>-69800.066800000001</v>
      </c>
      <c r="AO64" s="841">
        <f t="shared" si="130"/>
        <v>-71099.627999999997</v>
      </c>
      <c r="AP64" s="841">
        <f t="shared" si="130"/>
        <v>-64908.1656</v>
      </c>
      <c r="AQ64" s="841">
        <f t="shared" si="130"/>
        <v>-80289.049679999996</v>
      </c>
      <c r="AR64" s="841">
        <f t="shared" si="130"/>
        <v>-17341.48</v>
      </c>
      <c r="AS64" s="841">
        <f t="shared" si="130"/>
        <v>-17559.560000000001</v>
      </c>
      <c r="AT64" s="841">
        <f t="shared" si="130"/>
        <v>-18251.38</v>
      </c>
      <c r="AU64" s="841">
        <f t="shared" si="130"/>
        <v>-17754.62</v>
      </c>
      <c r="AV64" s="841">
        <f t="shared" si="130"/>
        <v>-18467.079999999998</v>
      </c>
      <c r="AW64" s="802"/>
      <c r="AX64" s="317" t="s">
        <v>472</v>
      </c>
      <c r="AY64" s="838">
        <f>(AY60-AY38-AY43-AY48)</f>
        <v>1675529.9468619048</v>
      </c>
      <c r="AZ64" s="841">
        <f>(AZ60-AZ38-AZ43-AZ48)</f>
        <v>201306.65451904765</v>
      </c>
      <c r="BA64" s="841">
        <f t="shared" ref="BA64:BK64" si="131">(BA60-BA38-BA43-BA48)</f>
        <v>-62345.267800000016</v>
      </c>
      <c r="BB64" s="841">
        <f t="shared" si="131"/>
        <v>409244.72419999982</v>
      </c>
      <c r="BC64" s="841">
        <f t="shared" si="131"/>
        <v>6960.5895999999993</v>
      </c>
      <c r="BD64" s="841">
        <f t="shared" si="131"/>
        <v>306046.54960000003</v>
      </c>
      <c r="BE64" s="841">
        <f t="shared" si="131"/>
        <v>579915.79960000003</v>
      </c>
      <c r="BF64" s="841">
        <f t="shared" si="131"/>
        <v>234400.89714285711</v>
      </c>
      <c r="BG64" s="841">
        <f t="shared" si="131"/>
        <v>-19687.48</v>
      </c>
      <c r="BH64" s="841">
        <f t="shared" si="131"/>
        <v>-19674.88</v>
      </c>
      <c r="BI64" s="841">
        <f t="shared" si="131"/>
        <v>-19701.48</v>
      </c>
      <c r="BJ64" s="841">
        <f t="shared" si="131"/>
        <v>-19766.079999999998</v>
      </c>
      <c r="BK64" s="841">
        <f t="shared" si="131"/>
        <v>-19381.48</v>
      </c>
      <c r="BL64" s="802"/>
      <c r="BM64" s="317" t="s">
        <v>472</v>
      </c>
      <c r="BN64" s="838">
        <f>(BN60-BN38-BN43-BN48)</f>
        <v>588332.70595991716</v>
      </c>
      <c r="BO64" s="841">
        <f>(BO60-BO38-BO43-BO48)</f>
        <v>152950.68232991698</v>
      </c>
      <c r="BP64" s="841">
        <f t="shared" ref="BP64:BZ64" si="132">(BP60-BP38-BP43-BP48)</f>
        <v>55769.640799999979</v>
      </c>
      <c r="BQ64" s="841">
        <f t="shared" si="132"/>
        <v>-239343.87716999985</v>
      </c>
      <c r="BR64" s="841">
        <f t="shared" si="132"/>
        <v>212442.22939999992</v>
      </c>
      <c r="BS64" s="841">
        <f t="shared" si="132"/>
        <v>187176.0062</v>
      </c>
      <c r="BT64" s="841">
        <f t="shared" si="132"/>
        <v>219338.02440000005</v>
      </c>
      <c r="BU64" s="841">
        <f t="shared" si="132"/>
        <v>-18413.48</v>
      </c>
      <c r="BV64" s="841">
        <f t="shared" si="132"/>
        <v>-18647.98</v>
      </c>
      <c r="BW64" s="841">
        <f t="shared" si="132"/>
        <v>-18755.079999999998</v>
      </c>
      <c r="BX64" s="841">
        <f t="shared" si="132"/>
        <v>-26355.08</v>
      </c>
      <c r="BY64" s="841">
        <f t="shared" si="132"/>
        <v>-25006.14</v>
      </c>
      <c r="BZ64" s="841">
        <f t="shared" si="132"/>
        <v>-17980.48</v>
      </c>
      <c r="CA64" s="802"/>
    </row>
    <row r="65" spans="2:79">
      <c r="B65" s="197"/>
      <c r="C65" s="799">
        <f>IF(C60&gt;0,C64/C60,0)</f>
        <v>0.24085328322820398</v>
      </c>
      <c r="D65" s="796"/>
      <c r="E65" s="197"/>
      <c r="F65" s="796"/>
      <c r="G65" s="304"/>
      <c r="H65" s="304"/>
      <c r="I65" s="304"/>
      <c r="J65" s="304"/>
      <c r="K65" s="304"/>
      <c r="L65" s="304"/>
      <c r="M65" s="304"/>
      <c r="N65" s="304"/>
      <c r="O65" s="304"/>
      <c r="P65" s="304"/>
      <c r="Q65" s="304"/>
      <c r="R65" s="304"/>
      <c r="S65" s="802"/>
      <c r="T65" s="197"/>
      <c r="U65" s="799">
        <f>IF(U60&gt;0,U64/U60,0)</f>
        <v>0.25006475968173553</v>
      </c>
      <c r="V65" s="318">
        <f t="shared" ref="V65:AG65" si="133">IF(V60&gt;0,V64/V60,0)</f>
        <v>-0.52327062899209709</v>
      </c>
      <c r="W65" s="318">
        <f t="shared" si="133"/>
        <v>0.36161093730769228</v>
      </c>
      <c r="X65" s="318">
        <f t="shared" si="133"/>
        <v>0.35938988270959082</v>
      </c>
      <c r="Y65" s="318">
        <f t="shared" si="133"/>
        <v>7.9883470214943686E-2</v>
      </c>
      <c r="Z65" s="318">
        <f t="shared" si="133"/>
        <v>0.43785882701986756</v>
      </c>
      <c r="AA65" s="318">
        <f t="shared" si="133"/>
        <v>0.41824091305565975</v>
      </c>
      <c r="AB65" s="318">
        <f t="shared" si="133"/>
        <v>1.9705277470893186E-2</v>
      </c>
      <c r="AC65" s="318">
        <f t="shared" si="133"/>
        <v>0</v>
      </c>
      <c r="AD65" s="318">
        <f t="shared" si="133"/>
        <v>0</v>
      </c>
      <c r="AE65" s="318">
        <f t="shared" si="133"/>
        <v>0</v>
      </c>
      <c r="AF65" s="318">
        <f t="shared" si="133"/>
        <v>0</v>
      </c>
      <c r="AG65" s="318">
        <f t="shared" si="133"/>
        <v>0</v>
      </c>
      <c r="AH65" s="802"/>
      <c r="AI65" s="197"/>
      <c r="AJ65" s="799">
        <f>IF(AJ60&gt;0,AJ64/AJ60,0)</f>
        <v>-6.1318899087411367</v>
      </c>
      <c r="AK65" s="318">
        <f>IF(AK60&gt;0,AK64/AK60,0)</f>
        <v>-3.2375519716079713</v>
      </c>
      <c r="AL65" s="318">
        <f t="shared" ref="AL65:AV65" si="134">IF(AL60&gt;0,AL64/AL60,0)</f>
        <v>-4.6317453379953379</v>
      </c>
      <c r="AM65" s="318">
        <f t="shared" si="134"/>
        <v>-5.1068903732406028</v>
      </c>
      <c r="AN65" s="318">
        <f t="shared" si="134"/>
        <v>-21.151535393939394</v>
      </c>
      <c r="AO65" s="318">
        <f t="shared" si="134"/>
        <v>-7.6266696701528556</v>
      </c>
      <c r="AP65" s="318">
        <f t="shared" si="134"/>
        <v>-5.7428149170537495</v>
      </c>
      <c r="AQ65" s="318">
        <f t="shared" si="134"/>
        <v>-9.5411823743315498</v>
      </c>
      <c r="AR65" s="318">
        <f t="shared" si="134"/>
        <v>0</v>
      </c>
      <c r="AS65" s="318">
        <f t="shared" si="134"/>
        <v>0</v>
      </c>
      <c r="AT65" s="318">
        <f t="shared" si="134"/>
        <v>0</v>
      </c>
      <c r="AU65" s="318">
        <f t="shared" si="134"/>
        <v>0</v>
      </c>
      <c r="AV65" s="318">
        <f t="shared" si="134"/>
        <v>0</v>
      </c>
      <c r="AW65" s="802"/>
      <c r="AX65" s="197"/>
      <c r="AY65" s="799">
        <f>IF(AY60&gt;0,AY64/AY60,0)</f>
        <v>0.45107658368479497</v>
      </c>
      <c r="AZ65" s="318">
        <f>IF(AZ60&gt;0,AZ64/AZ60,0)</f>
        <v>0.47349838472306116</v>
      </c>
      <c r="BA65" s="318">
        <f t="shared" ref="BA65:BK65" si="135">IF(BA60&gt;0,BA64/BA60,0)</f>
        <v>-0.5476004347759259</v>
      </c>
      <c r="BB65" s="318">
        <f t="shared" si="135"/>
        <v>0.46111977685684075</v>
      </c>
      <c r="BC65" s="318">
        <f t="shared" si="135"/>
        <v>1.6093848786127168E-2</v>
      </c>
      <c r="BD65" s="318">
        <f t="shared" si="135"/>
        <v>0.4698433320028248</v>
      </c>
      <c r="BE65" s="318">
        <f t="shared" si="135"/>
        <v>0.71769092682202396</v>
      </c>
      <c r="BF65" s="318">
        <f t="shared" si="135"/>
        <v>0.59176903207471088</v>
      </c>
      <c r="BG65" s="318">
        <f t="shared" si="135"/>
        <v>0</v>
      </c>
      <c r="BH65" s="318">
        <f t="shared" si="135"/>
        <v>0</v>
      </c>
      <c r="BI65" s="318">
        <f t="shared" si="135"/>
        <v>0</v>
      </c>
      <c r="BJ65" s="318">
        <f t="shared" si="135"/>
        <v>0</v>
      </c>
      <c r="BK65" s="318">
        <f t="shared" si="135"/>
        <v>0</v>
      </c>
      <c r="BL65" s="802"/>
      <c r="BM65" s="197"/>
      <c r="BN65" s="799">
        <f>IF(BN60&gt;0,BN64/BN60,0)</f>
        <v>0.16144801349027665</v>
      </c>
      <c r="BO65" s="318">
        <f>IF(BO60&gt;0,BO64/BO60,0)</f>
        <v>0.34526113392757785</v>
      </c>
      <c r="BP65" s="318">
        <f t="shared" ref="BP65:BZ65" si="136">IF(BP60&gt;0,BP64/BP60,0)</f>
        <v>9.709199303621166E-2</v>
      </c>
      <c r="BQ65" s="318">
        <f t="shared" si="136"/>
        <v>-0.46510664043917571</v>
      </c>
      <c r="BR65" s="318">
        <f t="shared" si="136"/>
        <v>0.25713172282740249</v>
      </c>
      <c r="BS65" s="318">
        <f t="shared" si="136"/>
        <v>0.32586352054317547</v>
      </c>
      <c r="BT65" s="318">
        <f t="shared" si="136"/>
        <v>0.30827550864371056</v>
      </c>
      <c r="BU65" s="318">
        <f t="shared" si="136"/>
        <v>0</v>
      </c>
      <c r="BV65" s="318">
        <f t="shared" si="136"/>
        <v>0</v>
      </c>
      <c r="BW65" s="318">
        <f t="shared" si="136"/>
        <v>0</v>
      </c>
      <c r="BX65" s="318">
        <f t="shared" si="136"/>
        <v>0</v>
      </c>
      <c r="BY65" s="318">
        <f t="shared" si="136"/>
        <v>0</v>
      </c>
      <c r="BZ65" s="318">
        <f t="shared" si="136"/>
        <v>0</v>
      </c>
      <c r="CA65" s="802"/>
    </row>
    <row r="66" spans="2:79">
      <c r="B66" s="197"/>
      <c r="C66" s="796"/>
      <c r="D66" s="796"/>
      <c r="E66" s="197"/>
      <c r="F66" s="796"/>
      <c r="G66" s="304"/>
      <c r="H66" s="304"/>
      <c r="I66" s="304"/>
      <c r="J66" s="304"/>
      <c r="K66" s="304"/>
      <c r="L66" s="304"/>
      <c r="M66" s="304"/>
      <c r="N66" s="304"/>
      <c r="O66" s="304"/>
      <c r="P66" s="304"/>
      <c r="Q66" s="304"/>
      <c r="R66" s="304"/>
      <c r="S66" s="796"/>
      <c r="T66" s="197"/>
      <c r="U66" s="796"/>
      <c r="V66" s="304"/>
      <c r="W66" s="304"/>
      <c r="X66" s="304"/>
      <c r="Y66" s="304"/>
      <c r="Z66" s="304"/>
      <c r="AA66" s="304"/>
      <c r="AB66" s="304"/>
      <c r="AC66" s="304"/>
      <c r="AD66" s="304"/>
      <c r="AE66" s="304"/>
      <c r="AF66" s="304"/>
      <c r="AG66" s="304"/>
      <c r="AH66" s="796"/>
      <c r="AI66" s="197"/>
      <c r="AJ66" s="796"/>
      <c r="AK66" s="304"/>
      <c r="AL66" s="304"/>
      <c r="AM66" s="304"/>
      <c r="AN66" s="304"/>
      <c r="AO66" s="304"/>
      <c r="AP66" s="304"/>
      <c r="AQ66" s="304"/>
      <c r="AR66" s="304"/>
      <c r="AS66" s="304"/>
      <c r="AT66" s="304"/>
      <c r="AU66" s="304"/>
      <c r="AV66" s="304"/>
      <c r="AW66" s="796"/>
      <c r="AX66" s="197"/>
      <c r="AY66" s="796"/>
      <c r="AZ66" s="304"/>
      <c r="BA66" s="304"/>
      <c r="BB66" s="304"/>
      <c r="BC66" s="304"/>
      <c r="BD66" s="304"/>
      <c r="BE66" s="304"/>
      <c r="BF66" s="304"/>
      <c r="BG66" s="304"/>
      <c r="BH66" s="304"/>
      <c r="BI66" s="304"/>
      <c r="BJ66" s="304"/>
      <c r="BK66" s="304"/>
      <c r="BL66" s="796"/>
      <c r="BM66" s="197"/>
      <c r="BN66" s="796"/>
      <c r="BO66" s="304"/>
      <c r="BP66" s="304"/>
      <c r="BQ66" s="304"/>
      <c r="BR66" s="304"/>
      <c r="BS66" s="304"/>
      <c r="BT66" s="304"/>
      <c r="BU66" s="304"/>
      <c r="BV66" s="304"/>
      <c r="BW66" s="304"/>
      <c r="BX66" s="304"/>
      <c r="BY66" s="304"/>
      <c r="BZ66" s="304"/>
      <c r="CA66" s="796"/>
    </row>
    <row r="67" spans="2:79">
      <c r="B67" s="197"/>
      <c r="C67" s="796"/>
      <c r="D67" s="796"/>
      <c r="E67" s="197"/>
      <c r="F67" s="796"/>
      <c r="G67" s="304"/>
      <c r="H67" s="304"/>
      <c r="I67" s="304"/>
      <c r="J67" s="304"/>
      <c r="K67" s="304"/>
      <c r="L67" s="304"/>
      <c r="M67" s="304"/>
      <c r="N67" s="304"/>
      <c r="O67" s="304"/>
      <c r="P67" s="304"/>
      <c r="Q67" s="304"/>
      <c r="R67" s="304"/>
      <c r="S67" s="796"/>
      <c r="T67" s="197"/>
      <c r="U67" s="796"/>
      <c r="V67" s="304"/>
      <c r="W67" s="304"/>
      <c r="X67" s="304"/>
      <c r="Y67" s="304"/>
      <c r="Z67" s="304"/>
      <c r="AA67" s="304"/>
      <c r="AB67" s="304"/>
      <c r="AC67" s="304"/>
      <c r="AD67" s="304"/>
      <c r="AE67" s="304"/>
      <c r="AF67" s="304"/>
      <c r="AG67" s="304"/>
      <c r="AH67" s="796"/>
      <c r="AI67" s="197"/>
      <c r="AJ67" s="796"/>
      <c r="AK67" s="304"/>
      <c r="AL67" s="304"/>
      <c r="AM67" s="304"/>
      <c r="AN67" s="304"/>
      <c r="AO67" s="304"/>
      <c r="AP67" s="304"/>
      <c r="AQ67" s="304"/>
      <c r="AR67" s="304"/>
      <c r="AS67" s="304"/>
      <c r="AT67" s="304"/>
      <c r="AU67" s="304"/>
      <c r="AV67" s="304"/>
      <c r="AW67" s="796"/>
      <c r="AX67" s="197"/>
      <c r="AY67" s="796"/>
      <c r="AZ67" s="304"/>
      <c r="BA67" s="304"/>
      <c r="BB67" s="304"/>
      <c r="BC67" s="304"/>
      <c r="BD67" s="304"/>
      <c r="BE67" s="304"/>
      <c r="BF67" s="304"/>
      <c r="BG67" s="304"/>
      <c r="BH67" s="304"/>
      <c r="BI67" s="304"/>
      <c r="BJ67" s="304"/>
      <c r="BK67" s="304"/>
      <c r="BL67" s="796"/>
      <c r="BM67" s="197"/>
      <c r="BN67" s="796"/>
      <c r="BO67" s="304"/>
      <c r="BP67" s="304"/>
      <c r="BQ67" s="304"/>
      <c r="BR67" s="304"/>
      <c r="BS67" s="304"/>
      <c r="BT67" s="304"/>
      <c r="BU67" s="304"/>
      <c r="BV67" s="304"/>
      <c r="BW67" s="304"/>
      <c r="BX67" s="304"/>
      <c r="BY67" s="304"/>
      <c r="BZ67" s="304"/>
      <c r="CA67" s="796"/>
    </row>
  </sheetData>
  <pageMargins left="0.7" right="0.7" top="0.75" bottom="0.75" header="0.3" footer="0.3"/>
  <pageSetup paperSize="9"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62E9C-B707-4E4E-9228-598950C160BD}">
  <dimension ref="A1:P153"/>
  <sheetViews>
    <sheetView workbookViewId="0"/>
  </sheetViews>
  <sheetFormatPr baseColWidth="10" defaultRowHeight="15" outlineLevelRow="1"/>
  <cols>
    <col min="1" max="1" width="13.7109375" customWidth="1"/>
    <col min="2" max="2" width="23.42578125" bestFit="1" customWidth="1"/>
    <col min="3" max="3" width="13.42578125" style="76" customWidth="1"/>
    <col min="4" max="4" width="14.28515625" style="76" customWidth="1"/>
    <col min="5" max="5" width="13" style="76" customWidth="1"/>
    <col min="6" max="6" width="13.42578125" style="76" customWidth="1"/>
    <col min="7" max="7" width="14" style="76" customWidth="1"/>
    <col min="8" max="8" width="14.7109375" style="76" customWidth="1"/>
    <col min="9" max="9" width="16.140625" style="76" customWidth="1"/>
    <col min="10" max="10" width="21.28515625" style="76" customWidth="1"/>
    <col min="11" max="11" width="15.28515625" style="76" customWidth="1"/>
    <col min="12" max="12" width="19.140625" style="76" customWidth="1"/>
    <col min="13" max="13" width="14.7109375" style="76" customWidth="1"/>
    <col min="14" max="14" width="15.85546875" style="76" customWidth="1"/>
    <col min="15" max="38" width="15.28515625" customWidth="1"/>
    <col min="39" max="39" width="17.28515625" bestFit="1" customWidth="1"/>
    <col min="40" max="40" width="15.28515625" bestFit="1" customWidth="1"/>
  </cols>
  <sheetData>
    <row r="1" spans="1:14" ht="18.75">
      <c r="B1" s="676" t="s">
        <v>653</v>
      </c>
    </row>
    <row r="2" spans="1:14" ht="18.75">
      <c r="B2" s="676" t="s">
        <v>654</v>
      </c>
    </row>
    <row r="5" spans="1:14" ht="28.5">
      <c r="B5" s="677" t="s">
        <v>655</v>
      </c>
      <c r="C5" s="678"/>
      <c r="D5" s="678"/>
      <c r="E5" s="678"/>
      <c r="F5" s="678"/>
      <c r="H5" s="678" t="s">
        <v>656</v>
      </c>
      <c r="I5" s="679">
        <v>45290</v>
      </c>
      <c r="K5" s="680" t="str">
        <f>"S-"&amp;INT((I5-DATE(YEAR(I5-WEEKDAY(I5-1)+4),1,3)+WEEKDAY(DATE(YEAR(I5-WEEKDAY(I5-1)+4),1,3))+5)/7)&amp;"/23"</f>
        <v>S-52/23</v>
      </c>
    </row>
    <row r="6" spans="1:14" ht="18.75">
      <c r="A6" s="675" t="s">
        <v>659</v>
      </c>
      <c r="B6" s="681" t="s">
        <v>657</v>
      </c>
      <c r="C6" s="711" t="s">
        <v>651</v>
      </c>
      <c r="D6" s="682"/>
      <c r="E6" s="682"/>
      <c r="F6" s="682"/>
      <c r="G6" s="682"/>
      <c r="H6" s="682"/>
      <c r="I6" s="682"/>
      <c r="J6" s="682"/>
      <c r="K6" s="682"/>
      <c r="L6" s="682"/>
      <c r="M6"/>
      <c r="N6"/>
    </row>
    <row r="7" spans="1:14" ht="18.75">
      <c r="B7" s="681" t="s">
        <v>658</v>
      </c>
      <c r="C7" s="713" t="s">
        <v>652</v>
      </c>
      <c r="D7" s="713" t="s">
        <v>161</v>
      </c>
      <c r="E7" s="713" t="s">
        <v>166</v>
      </c>
      <c r="F7" s="713" t="s">
        <v>461</v>
      </c>
      <c r="G7" s="713" t="s">
        <v>56</v>
      </c>
      <c r="H7" s="713" t="s">
        <v>87</v>
      </c>
      <c r="I7" s="713" t="s">
        <v>85</v>
      </c>
      <c r="J7" s="713" t="s">
        <v>86</v>
      </c>
      <c r="K7" s="713" t="s">
        <v>162</v>
      </c>
      <c r="L7" s="713" t="s">
        <v>164</v>
      </c>
      <c r="M7"/>
      <c r="N7"/>
    </row>
    <row r="8" spans="1:14" ht="18.75">
      <c r="B8" s="710" t="s">
        <v>649</v>
      </c>
      <c r="C8" s="719"/>
      <c r="D8" s="719"/>
      <c r="E8" s="719"/>
      <c r="F8" s="719"/>
      <c r="G8" s="719"/>
      <c r="H8" s="719"/>
      <c r="I8" s="719"/>
      <c r="J8" s="719"/>
      <c r="K8" s="719"/>
      <c r="L8" s="719"/>
      <c r="M8"/>
      <c r="N8"/>
    </row>
    <row r="9" spans="1:14">
      <c r="B9" s="1274" t="s">
        <v>650</v>
      </c>
      <c r="C9" s="674">
        <v>0</v>
      </c>
      <c r="D9" s="674">
        <v>0</v>
      </c>
      <c r="E9" s="674">
        <v>1060</v>
      </c>
      <c r="F9" s="674">
        <v>0</v>
      </c>
      <c r="G9" s="674">
        <v>800</v>
      </c>
      <c r="H9" s="674">
        <v>18075</v>
      </c>
      <c r="I9" s="674">
        <v>108570</v>
      </c>
      <c r="J9" s="674">
        <v>21000</v>
      </c>
      <c r="K9" s="674">
        <v>1.2670000000000003</v>
      </c>
      <c r="L9" s="674">
        <v>7180.32</v>
      </c>
      <c r="M9"/>
      <c r="N9"/>
    </row>
    <row r="10" spans="1:14">
      <c r="B10" s="1274" t="s">
        <v>705</v>
      </c>
      <c r="C10" s="674">
        <v>0</v>
      </c>
      <c r="D10" s="674">
        <v>200</v>
      </c>
      <c r="E10" s="674">
        <v>0</v>
      </c>
      <c r="F10" s="674">
        <v>0</v>
      </c>
      <c r="G10" s="674">
        <v>300</v>
      </c>
      <c r="H10" s="674">
        <v>-1562.5</v>
      </c>
      <c r="I10" s="674">
        <v>0</v>
      </c>
      <c r="J10" s="674">
        <v>0</v>
      </c>
      <c r="K10" s="674">
        <v>-2.7000000000000135E-2</v>
      </c>
      <c r="L10" s="674">
        <v>151.80000000000001</v>
      </c>
      <c r="M10"/>
      <c r="N10"/>
    </row>
    <row r="11" spans="1:14">
      <c r="B11" s="1274" t="s">
        <v>706</v>
      </c>
      <c r="C11" s="674">
        <v>800</v>
      </c>
      <c r="D11" s="674">
        <v>600</v>
      </c>
      <c r="E11" s="674">
        <v>0</v>
      </c>
      <c r="F11" s="674">
        <v>0</v>
      </c>
      <c r="G11" s="674">
        <v>-1160</v>
      </c>
      <c r="H11" s="674">
        <v>3750</v>
      </c>
      <c r="I11" s="674">
        <v>-44090</v>
      </c>
      <c r="J11" s="674">
        <v>0</v>
      </c>
      <c r="K11" s="674">
        <v>1.1320000000000006</v>
      </c>
      <c r="L11" s="674">
        <v>-85.9</v>
      </c>
      <c r="M11"/>
      <c r="N11"/>
    </row>
    <row r="12" spans="1:14">
      <c r="B12" s="1274" t="s">
        <v>707</v>
      </c>
      <c r="C12" s="674">
        <v>0</v>
      </c>
      <c r="D12" s="674">
        <v>-800</v>
      </c>
      <c r="E12" s="674">
        <v>0</v>
      </c>
      <c r="F12" s="674">
        <v>0</v>
      </c>
      <c r="G12" s="674">
        <v>1200</v>
      </c>
      <c r="H12" s="674">
        <v>17250</v>
      </c>
      <c r="I12" s="674">
        <v>0</v>
      </c>
      <c r="J12" s="674">
        <v>0</v>
      </c>
      <c r="K12" s="674">
        <v>1.487000000000001</v>
      </c>
      <c r="L12" s="674">
        <v>263.61599999999993</v>
      </c>
      <c r="M12"/>
      <c r="N12"/>
    </row>
    <row r="13" spans="1:14">
      <c r="B13" s="1274" t="s">
        <v>708</v>
      </c>
      <c r="C13" s="674">
        <v>-600</v>
      </c>
      <c r="D13" s="674">
        <v>-400</v>
      </c>
      <c r="E13" s="674">
        <v>940</v>
      </c>
      <c r="F13" s="674">
        <v>0</v>
      </c>
      <c r="G13" s="674">
        <v>-1000</v>
      </c>
      <c r="H13" s="674">
        <v>-22750</v>
      </c>
      <c r="I13" s="674">
        <v>127910</v>
      </c>
      <c r="J13" s="674">
        <v>46000</v>
      </c>
      <c r="K13" s="674">
        <v>-1.7959999999999994</v>
      </c>
      <c r="L13" s="674">
        <v>105.76299999999998</v>
      </c>
      <c r="M13"/>
      <c r="N13"/>
    </row>
    <row r="14" spans="1:14">
      <c r="B14" s="1274" t="s">
        <v>413</v>
      </c>
      <c r="C14" s="674">
        <v>200</v>
      </c>
      <c r="D14" s="674">
        <v>400</v>
      </c>
      <c r="E14" s="674">
        <v>-1500</v>
      </c>
      <c r="F14" s="674">
        <v>0</v>
      </c>
      <c r="G14" s="674">
        <v>1780</v>
      </c>
      <c r="H14" s="674">
        <v>2750</v>
      </c>
      <c r="I14" s="674">
        <v>-190840</v>
      </c>
      <c r="J14" s="674">
        <v>-44580</v>
      </c>
      <c r="K14" s="674">
        <v>-1.1129999999999995</v>
      </c>
      <c r="L14" s="674">
        <v>268.59000000000003</v>
      </c>
      <c r="M14"/>
      <c r="N14"/>
    </row>
    <row r="15" spans="1:14">
      <c r="B15" s="1274" t="s">
        <v>709</v>
      </c>
      <c r="C15" s="674">
        <v>400</v>
      </c>
      <c r="D15" s="674">
        <v>0</v>
      </c>
      <c r="E15" s="674">
        <v>0</v>
      </c>
      <c r="F15" s="674">
        <v>0</v>
      </c>
      <c r="G15" s="674">
        <v>1000</v>
      </c>
      <c r="H15" s="674">
        <v>3715</v>
      </c>
      <c r="I15" s="674">
        <v>30380</v>
      </c>
      <c r="J15" s="674">
        <v>-2020</v>
      </c>
      <c r="K15" s="674">
        <v>0.28000000000000025</v>
      </c>
      <c r="L15" s="674">
        <v>597.9</v>
      </c>
      <c r="M15"/>
      <c r="N15"/>
    </row>
    <row r="16" spans="1:14">
      <c r="B16" s="1274" t="s">
        <v>710</v>
      </c>
      <c r="C16" s="674">
        <v>-200</v>
      </c>
      <c r="D16" s="674">
        <v>600</v>
      </c>
      <c r="E16" s="674">
        <v>0</v>
      </c>
      <c r="F16" s="674">
        <v>0</v>
      </c>
      <c r="G16" s="674">
        <v>-1140</v>
      </c>
      <c r="H16" s="674">
        <v>8750</v>
      </c>
      <c r="I16" s="674">
        <v>-2740</v>
      </c>
      <c r="J16" s="674">
        <v>-12860</v>
      </c>
      <c r="K16" s="674">
        <v>9.2000000000000526E-2</v>
      </c>
      <c r="L16" s="674">
        <v>526.49</v>
      </c>
      <c r="M16"/>
      <c r="N16"/>
    </row>
    <row r="17" spans="2:14">
      <c r="B17" s="1274" t="s">
        <v>414</v>
      </c>
      <c r="C17" s="674">
        <v>-200</v>
      </c>
      <c r="D17" s="674">
        <v>-400</v>
      </c>
      <c r="E17" s="674">
        <v>0</v>
      </c>
      <c r="F17" s="674">
        <v>600</v>
      </c>
      <c r="G17" s="674">
        <v>-120</v>
      </c>
      <c r="H17" s="674">
        <v>-10400</v>
      </c>
      <c r="I17" s="674">
        <v>-26570</v>
      </c>
      <c r="J17" s="674">
        <v>2200</v>
      </c>
      <c r="K17" s="674">
        <v>-0.20299999999999985</v>
      </c>
      <c r="L17" s="674">
        <v>-116.5</v>
      </c>
      <c r="M17"/>
      <c r="N17"/>
    </row>
    <row r="18" spans="2:14">
      <c r="B18" s="1274" t="s">
        <v>711</v>
      </c>
      <c r="C18" s="674">
        <v>0</v>
      </c>
      <c r="D18" s="674">
        <v>0</v>
      </c>
      <c r="E18" s="674">
        <v>0</v>
      </c>
      <c r="F18" s="674">
        <v>-120</v>
      </c>
      <c r="G18" s="674">
        <v>-1220</v>
      </c>
      <c r="H18" s="674">
        <v>-5880</v>
      </c>
      <c r="I18" s="674">
        <v>3310</v>
      </c>
      <c r="J18" s="674">
        <v>-8320</v>
      </c>
      <c r="K18" s="674">
        <v>-0.5259999999999998</v>
      </c>
      <c r="L18" s="674">
        <v>-511.5</v>
      </c>
      <c r="M18"/>
      <c r="N18"/>
    </row>
    <row r="19" spans="2:14">
      <c r="B19" s="1274" t="s">
        <v>415</v>
      </c>
      <c r="C19" s="674">
        <v>600</v>
      </c>
      <c r="D19" s="674">
        <v>-200</v>
      </c>
      <c r="E19" s="674">
        <v>0</v>
      </c>
      <c r="F19" s="674">
        <v>-480</v>
      </c>
      <c r="G19" s="674">
        <v>1520</v>
      </c>
      <c r="H19" s="674">
        <v>9980</v>
      </c>
      <c r="I19" s="674">
        <v>135600</v>
      </c>
      <c r="J19" s="674">
        <v>30960</v>
      </c>
      <c r="K19" s="674">
        <v>1.6240000000000001</v>
      </c>
      <c r="L19" s="674">
        <v>-505.51</v>
      </c>
      <c r="M19"/>
      <c r="N19"/>
    </row>
    <row r="20" spans="2:14">
      <c r="B20" s="1274" t="s">
        <v>712</v>
      </c>
      <c r="C20" s="674">
        <v>-1000</v>
      </c>
      <c r="D20" s="674">
        <v>0</v>
      </c>
      <c r="E20" s="674">
        <v>-20</v>
      </c>
      <c r="F20" s="674">
        <v>580</v>
      </c>
      <c r="G20" s="674">
        <v>-1020</v>
      </c>
      <c r="H20" s="674">
        <v>9740</v>
      </c>
      <c r="I20" s="674">
        <v>-91470</v>
      </c>
      <c r="J20" s="674">
        <v>16320</v>
      </c>
      <c r="K20" s="674">
        <v>0.50099999999999856</v>
      </c>
      <c r="L20" s="674">
        <v>-225</v>
      </c>
      <c r="M20"/>
      <c r="N20"/>
    </row>
    <row r="21" spans="2:14" ht="23.25">
      <c r="B21" s="709" t="s">
        <v>648</v>
      </c>
      <c r="C21" s="720">
        <v>0</v>
      </c>
      <c r="D21" s="720">
        <v>0</v>
      </c>
      <c r="E21" s="720">
        <v>480</v>
      </c>
      <c r="F21" s="720">
        <v>580</v>
      </c>
      <c r="G21" s="720">
        <v>940</v>
      </c>
      <c r="H21" s="720">
        <v>33417.5</v>
      </c>
      <c r="I21" s="720">
        <v>50060</v>
      </c>
      <c r="J21" s="720">
        <v>48700</v>
      </c>
      <c r="K21" s="720">
        <v>2.7179999999999893</v>
      </c>
      <c r="L21" s="720">
        <v>7650.0690000000013</v>
      </c>
      <c r="M21"/>
      <c r="N21"/>
    </row>
    <row r="22" spans="2:14" outlineLevel="1">
      <c r="C22"/>
      <c r="D22"/>
      <c r="E22"/>
      <c r="F22"/>
      <c r="G22"/>
      <c r="H22"/>
      <c r="I22"/>
      <c r="J22"/>
      <c r="K22"/>
      <c r="L22"/>
      <c r="M22"/>
      <c r="N22"/>
    </row>
    <row r="23" spans="2:14" outlineLevel="1">
      <c r="C23"/>
      <c r="D23"/>
      <c r="E23"/>
      <c r="F23"/>
      <c r="G23"/>
      <c r="H23"/>
      <c r="I23"/>
      <c r="J23"/>
      <c r="K23"/>
      <c r="L23"/>
      <c r="M23"/>
      <c r="N23"/>
    </row>
    <row r="24" spans="2:14" outlineLevel="1">
      <c r="C24"/>
      <c r="D24"/>
      <c r="E24"/>
      <c r="F24"/>
      <c r="G24"/>
      <c r="H24"/>
      <c r="I24"/>
      <c r="J24"/>
      <c r="K24"/>
      <c r="L24"/>
      <c r="M24"/>
      <c r="N24"/>
    </row>
    <row r="25" spans="2:14" outlineLevel="1">
      <c r="C25"/>
      <c r="D25"/>
      <c r="E25"/>
      <c r="F25"/>
      <c r="G25"/>
      <c r="H25"/>
      <c r="I25"/>
      <c r="J25"/>
      <c r="K25"/>
      <c r="L25"/>
      <c r="M25"/>
      <c r="N25"/>
    </row>
    <row r="26" spans="2:14" outlineLevel="1">
      <c r="C26"/>
      <c r="D26"/>
      <c r="E26"/>
      <c r="F26"/>
      <c r="G26"/>
      <c r="H26"/>
      <c r="I26"/>
      <c r="J26"/>
      <c r="K26"/>
      <c r="L26"/>
      <c r="M26"/>
      <c r="N26"/>
    </row>
    <row r="27" spans="2:14" outlineLevel="1">
      <c r="C27"/>
      <c r="D27"/>
      <c r="E27"/>
      <c r="F27"/>
      <c r="G27"/>
      <c r="H27"/>
      <c r="I27"/>
      <c r="J27"/>
      <c r="K27"/>
      <c r="L27"/>
      <c r="M27"/>
      <c r="N27"/>
    </row>
    <row r="28" spans="2:14" outlineLevel="1">
      <c r="C28"/>
      <c r="D28"/>
      <c r="E28"/>
      <c r="F28"/>
      <c r="G28"/>
      <c r="H28"/>
      <c r="I28"/>
      <c r="J28"/>
      <c r="K28"/>
      <c r="L28"/>
      <c r="M28"/>
      <c r="N28"/>
    </row>
    <row r="29" spans="2:14" outlineLevel="1">
      <c r="C29"/>
      <c r="D29"/>
      <c r="E29"/>
      <c r="F29"/>
      <c r="G29"/>
      <c r="H29"/>
      <c r="I29"/>
      <c r="J29"/>
      <c r="K29"/>
      <c r="L29"/>
      <c r="M29"/>
      <c r="N29"/>
    </row>
    <row r="30" spans="2:14" outlineLevel="1">
      <c r="C30"/>
      <c r="D30"/>
      <c r="E30"/>
      <c r="F30"/>
      <c r="G30"/>
      <c r="H30"/>
      <c r="I30"/>
      <c r="J30"/>
      <c r="K30"/>
      <c r="L30"/>
      <c r="M30"/>
      <c r="N30"/>
    </row>
    <row r="31" spans="2:14" outlineLevel="1">
      <c r="C31"/>
      <c r="D31"/>
      <c r="E31"/>
      <c r="F31"/>
      <c r="G31"/>
      <c r="H31"/>
      <c r="I31"/>
      <c r="J31"/>
      <c r="K31"/>
      <c r="L31"/>
      <c r="M31"/>
      <c r="N31"/>
    </row>
    <row r="32" spans="2:14" outlineLevel="1">
      <c r="C32"/>
      <c r="D32"/>
      <c r="E32"/>
      <c r="F32"/>
      <c r="G32"/>
      <c r="H32"/>
      <c r="I32"/>
      <c r="J32"/>
      <c r="K32"/>
      <c r="L32"/>
      <c r="M32"/>
      <c r="N32"/>
    </row>
    <row r="33" customFormat="1" outlineLevel="1"/>
    <row r="34" customFormat="1" outlineLevel="1"/>
    <row r="35" customFormat="1" outlineLevel="1"/>
    <row r="36" customFormat="1" outlineLevel="1"/>
    <row r="37" customFormat="1" outlineLevel="1"/>
    <row r="38" customFormat="1" outlineLevel="1"/>
    <row r="39" customFormat="1" outlineLevel="1"/>
    <row r="40" customFormat="1" outlineLevel="1"/>
    <row r="41" customFormat="1" outlineLevel="1"/>
    <row r="42" customFormat="1" outlineLevel="1"/>
    <row r="43" customFormat="1" outlineLevel="1"/>
    <row r="44" customFormat="1" outlineLevel="1"/>
    <row r="45" customFormat="1" outlineLevel="1"/>
    <row r="46" customFormat="1" outlineLevel="1"/>
    <row r="47" customFormat="1" outlineLevel="1"/>
    <row r="48" customFormat="1" outlineLevel="1"/>
    <row r="49" customFormat="1" outlineLevel="1"/>
    <row r="50" customFormat="1" outlineLevel="1"/>
    <row r="51" customFormat="1" outlineLevel="1"/>
    <row r="52" customFormat="1" outlineLevel="1"/>
    <row r="53" customFormat="1" outlineLevel="1"/>
    <row r="54" customFormat="1" outlineLevel="1"/>
    <row r="55" customFormat="1" outlineLevel="1"/>
    <row r="56" customFormat="1" outlineLevel="1"/>
    <row r="57" customFormat="1" outlineLevel="1"/>
    <row r="58" customFormat="1" outlineLevel="1"/>
    <row r="59" customFormat="1" outlineLevel="1"/>
    <row r="60" customFormat="1" outlineLevel="1"/>
    <row r="61" customFormat="1" outlineLevel="1"/>
    <row r="62" customFormat="1" outlineLevel="1"/>
    <row r="63" customFormat="1" outlineLevel="1"/>
    <row r="64" customFormat="1" outlineLevel="1"/>
    <row r="65" customFormat="1" outlineLevel="1"/>
    <row r="66" customFormat="1" outlineLevel="1"/>
    <row r="67" customFormat="1" outlineLevel="1"/>
    <row r="68" customFormat="1" outlineLevel="1"/>
    <row r="69" customFormat="1" outlineLevel="1"/>
    <row r="70" customFormat="1" outlineLevel="1"/>
    <row r="71" customFormat="1" outlineLevel="1"/>
    <row r="72" customFormat="1" outlineLevel="1"/>
    <row r="73" customFormat="1" outlineLevel="1"/>
    <row r="74" customFormat="1" outlineLevel="1"/>
    <row r="75" customFormat="1" outlineLevel="1"/>
    <row r="76" customFormat="1" outlineLevel="1"/>
    <row r="77" customFormat="1" outlineLevel="1"/>
    <row r="78" customFormat="1" outlineLevel="1"/>
    <row r="79" customFormat="1" outlineLevel="1"/>
    <row r="80" customFormat="1" outlineLevel="1"/>
    <row r="81" spans="1:16">
      <c r="C81"/>
      <c r="D81"/>
      <c r="E81"/>
      <c r="F81"/>
      <c r="G81"/>
      <c r="H81"/>
      <c r="I81"/>
      <c r="J81"/>
      <c r="K81"/>
      <c r="L81"/>
      <c r="M81"/>
      <c r="N81"/>
    </row>
    <row r="82" spans="1:16">
      <c r="C82"/>
      <c r="P82" s="76"/>
    </row>
    <row r="83" spans="1:16">
      <c r="A83" s="96" t="s">
        <v>662</v>
      </c>
      <c r="B83" s="1342"/>
      <c r="C83" s="712" t="s">
        <v>651</v>
      </c>
      <c r="D83"/>
      <c r="E83"/>
      <c r="F83"/>
      <c r="G83"/>
      <c r="H83"/>
      <c r="I83"/>
      <c r="J83"/>
      <c r="K83"/>
      <c r="L83"/>
      <c r="M83"/>
      <c r="N83"/>
    </row>
    <row r="84" spans="1:16">
      <c r="B84" s="1342"/>
      <c r="C84" s="1342" t="s">
        <v>649</v>
      </c>
      <c r="D84"/>
      <c r="E84"/>
      <c r="F84"/>
      <c r="G84"/>
      <c r="H84"/>
      <c r="I84"/>
      <c r="J84"/>
      <c r="K84"/>
      <c r="L84"/>
      <c r="M84"/>
      <c r="N84"/>
    </row>
    <row r="85" spans="1:16">
      <c r="B85" s="712" t="s">
        <v>713</v>
      </c>
      <c r="C85" s="1342"/>
      <c r="D85"/>
      <c r="E85"/>
      <c r="F85"/>
      <c r="G85"/>
      <c r="H85"/>
      <c r="I85"/>
      <c r="J85"/>
      <c r="K85"/>
      <c r="L85"/>
      <c r="M85"/>
      <c r="N85"/>
    </row>
    <row r="86" spans="1:16" ht="18.75">
      <c r="B86" s="682" t="s">
        <v>652</v>
      </c>
      <c r="C86" s="674"/>
      <c r="D86"/>
      <c r="E86"/>
      <c r="F86"/>
      <c r="G86"/>
      <c r="H86"/>
      <c r="I86"/>
      <c r="J86"/>
      <c r="K86"/>
      <c r="L86"/>
      <c r="M86"/>
      <c r="N86"/>
    </row>
    <row r="87" spans="1:16">
      <c r="B87" s="1021" t="s">
        <v>660</v>
      </c>
      <c r="C87" s="674">
        <v>14200</v>
      </c>
      <c r="D87"/>
      <c r="E87"/>
      <c r="F87"/>
      <c r="G87"/>
      <c r="H87"/>
      <c r="I87"/>
      <c r="J87"/>
      <c r="K87"/>
      <c r="L87"/>
      <c r="M87"/>
      <c r="N87"/>
    </row>
    <row r="88" spans="1:16">
      <c r="B88" s="1021" t="s">
        <v>661</v>
      </c>
      <c r="C88" s="674">
        <v>14200</v>
      </c>
      <c r="D88"/>
      <c r="E88"/>
      <c r="F88"/>
      <c r="G88"/>
      <c r="H88"/>
      <c r="I88"/>
      <c r="J88"/>
      <c r="K88"/>
      <c r="L88"/>
      <c r="M88"/>
      <c r="N88"/>
    </row>
    <row r="89" spans="1:16">
      <c r="B89" s="1021" t="s">
        <v>657</v>
      </c>
      <c r="C89" s="674">
        <v>0</v>
      </c>
      <c r="D89"/>
      <c r="E89"/>
      <c r="F89"/>
      <c r="G89"/>
      <c r="H89"/>
      <c r="I89"/>
      <c r="J89"/>
      <c r="K89"/>
      <c r="L89"/>
      <c r="M89"/>
      <c r="N89"/>
    </row>
    <row r="90" spans="1:16" ht="18.75">
      <c r="B90" s="682" t="s">
        <v>161</v>
      </c>
      <c r="C90" s="674"/>
      <c r="D90"/>
      <c r="E90"/>
      <c r="F90"/>
      <c r="G90"/>
      <c r="H90"/>
      <c r="I90"/>
      <c r="J90"/>
      <c r="K90"/>
      <c r="L90"/>
      <c r="M90"/>
      <c r="N90"/>
    </row>
    <row r="91" spans="1:16">
      <c r="B91" s="1021" t="s">
        <v>660</v>
      </c>
      <c r="C91" s="674">
        <v>6000</v>
      </c>
      <c r="D91"/>
      <c r="E91"/>
      <c r="F91"/>
      <c r="G91"/>
      <c r="H91"/>
      <c r="I91"/>
      <c r="J91"/>
      <c r="K91"/>
      <c r="L91"/>
      <c r="M91"/>
      <c r="N91"/>
    </row>
    <row r="92" spans="1:16">
      <c r="B92" s="1021" t="s">
        <v>661</v>
      </c>
      <c r="C92" s="674">
        <v>6000</v>
      </c>
      <c r="D92"/>
      <c r="E92"/>
      <c r="F92"/>
      <c r="G92"/>
      <c r="H92"/>
      <c r="I92"/>
      <c r="J92"/>
      <c r="K92"/>
      <c r="L92"/>
      <c r="M92"/>
      <c r="N92"/>
    </row>
    <row r="93" spans="1:16">
      <c r="B93" s="1021" t="s">
        <v>657</v>
      </c>
      <c r="C93" s="674">
        <v>0</v>
      </c>
      <c r="D93"/>
      <c r="E93"/>
      <c r="F93"/>
      <c r="G93"/>
      <c r="H93"/>
      <c r="I93"/>
      <c r="J93"/>
      <c r="K93"/>
      <c r="L93"/>
      <c r="M93"/>
      <c r="N93"/>
    </row>
    <row r="94" spans="1:16" ht="18.75">
      <c r="B94" s="682" t="s">
        <v>166</v>
      </c>
      <c r="C94" s="674"/>
      <c r="D94"/>
      <c r="E94"/>
      <c r="F94"/>
      <c r="G94"/>
      <c r="H94"/>
      <c r="I94"/>
      <c r="J94"/>
      <c r="K94"/>
      <c r="L94"/>
      <c r="M94"/>
      <c r="N94"/>
    </row>
    <row r="95" spans="1:16">
      <c r="B95" s="1021" t="s">
        <v>660</v>
      </c>
      <c r="C95" s="674">
        <v>2000</v>
      </c>
      <c r="D95"/>
      <c r="E95"/>
      <c r="F95"/>
      <c r="G95"/>
      <c r="H95"/>
      <c r="I95"/>
      <c r="J95"/>
      <c r="K95"/>
      <c r="L95"/>
      <c r="M95"/>
      <c r="N95"/>
    </row>
    <row r="96" spans="1:16">
      <c r="B96" s="1021" t="s">
        <v>661</v>
      </c>
      <c r="C96" s="674">
        <v>1520</v>
      </c>
      <c r="D96"/>
      <c r="E96"/>
      <c r="F96"/>
      <c r="G96"/>
      <c r="H96"/>
      <c r="I96"/>
      <c r="J96"/>
      <c r="K96"/>
      <c r="L96"/>
      <c r="M96"/>
      <c r="N96"/>
    </row>
    <row r="97" spans="2:14">
      <c r="B97" s="1021" t="s">
        <v>657</v>
      </c>
      <c r="C97" s="674">
        <v>480</v>
      </c>
      <c r="D97"/>
      <c r="E97"/>
      <c r="F97"/>
      <c r="G97"/>
      <c r="H97"/>
      <c r="I97"/>
      <c r="J97"/>
      <c r="K97"/>
      <c r="L97"/>
      <c r="M97"/>
      <c r="N97"/>
    </row>
    <row r="98" spans="2:14" ht="18.75">
      <c r="B98" s="682" t="s">
        <v>553</v>
      </c>
      <c r="C98" s="674"/>
      <c r="D98"/>
      <c r="E98"/>
      <c r="F98"/>
      <c r="G98"/>
      <c r="H98"/>
      <c r="I98"/>
      <c r="J98"/>
      <c r="K98"/>
      <c r="L98"/>
      <c r="M98"/>
      <c r="N98"/>
    </row>
    <row r="99" spans="2:14">
      <c r="B99" s="1021" t="s">
        <v>660</v>
      </c>
      <c r="C99" s="674">
        <v>20</v>
      </c>
      <c r="D99"/>
      <c r="E99"/>
      <c r="F99"/>
      <c r="G99"/>
      <c r="H99"/>
      <c r="I99"/>
      <c r="J99"/>
      <c r="K99"/>
      <c r="L99"/>
      <c r="M99"/>
      <c r="N99"/>
    </row>
    <row r="100" spans="2:14">
      <c r="B100" s="1021" t="s">
        <v>661</v>
      </c>
      <c r="C100" s="674">
        <v>20</v>
      </c>
      <c r="D100"/>
      <c r="E100"/>
      <c r="F100"/>
      <c r="G100"/>
      <c r="H100"/>
      <c r="I100"/>
      <c r="J100"/>
      <c r="K100"/>
      <c r="L100"/>
      <c r="M100"/>
      <c r="N100"/>
    </row>
    <row r="101" spans="2:14">
      <c r="B101" s="1021" t="s">
        <v>657</v>
      </c>
      <c r="C101" s="674">
        <v>0</v>
      </c>
      <c r="D101"/>
      <c r="E101"/>
      <c r="F101"/>
      <c r="G101"/>
      <c r="H101"/>
      <c r="I101"/>
      <c r="J101"/>
      <c r="K101"/>
      <c r="L101"/>
      <c r="M101"/>
      <c r="N101"/>
    </row>
    <row r="102" spans="2:14" ht="18.75">
      <c r="B102" s="682" t="s">
        <v>461</v>
      </c>
      <c r="C102" s="674"/>
      <c r="D102"/>
      <c r="E102"/>
      <c r="F102"/>
      <c r="G102"/>
      <c r="H102"/>
      <c r="I102"/>
      <c r="J102"/>
      <c r="K102"/>
      <c r="L102"/>
      <c r="M102"/>
      <c r="N102"/>
    </row>
    <row r="103" spans="2:14">
      <c r="B103" s="1021" t="s">
        <v>660</v>
      </c>
      <c r="C103" s="674">
        <v>2000</v>
      </c>
      <c r="D103"/>
      <c r="E103"/>
      <c r="F103"/>
      <c r="G103"/>
      <c r="H103"/>
      <c r="I103"/>
      <c r="J103"/>
      <c r="K103"/>
      <c r="L103"/>
      <c r="M103"/>
      <c r="N103"/>
    </row>
    <row r="104" spans="2:14">
      <c r="B104" s="1021" t="s">
        <v>661</v>
      </c>
      <c r="C104" s="674">
        <v>1420</v>
      </c>
      <c r="D104"/>
      <c r="E104"/>
      <c r="F104"/>
      <c r="G104"/>
      <c r="H104"/>
      <c r="I104"/>
      <c r="J104"/>
      <c r="K104"/>
      <c r="L104"/>
      <c r="M104"/>
      <c r="N104"/>
    </row>
    <row r="105" spans="2:14">
      <c r="B105" s="1021" t="s">
        <v>657</v>
      </c>
      <c r="C105" s="674">
        <v>580</v>
      </c>
      <c r="D105"/>
      <c r="E105"/>
      <c r="F105"/>
      <c r="G105"/>
      <c r="H105"/>
      <c r="I105"/>
      <c r="J105"/>
      <c r="K105"/>
      <c r="L105"/>
      <c r="M105"/>
      <c r="N105"/>
    </row>
    <row r="106" spans="2:14" ht="18.75">
      <c r="B106" s="682" t="s">
        <v>56</v>
      </c>
      <c r="C106" s="674"/>
      <c r="D106"/>
      <c r="E106"/>
      <c r="F106"/>
      <c r="G106"/>
      <c r="H106"/>
      <c r="I106"/>
      <c r="J106"/>
      <c r="K106"/>
      <c r="L106"/>
      <c r="M106"/>
      <c r="N106"/>
    </row>
    <row r="107" spans="2:14">
      <c r="B107" s="1021" t="s">
        <v>660</v>
      </c>
      <c r="C107" s="674">
        <v>37500</v>
      </c>
      <c r="D107"/>
      <c r="E107"/>
      <c r="F107"/>
      <c r="G107"/>
      <c r="H107"/>
      <c r="I107"/>
      <c r="J107"/>
      <c r="K107"/>
      <c r="L107"/>
      <c r="M107"/>
      <c r="N107"/>
    </row>
    <row r="108" spans="2:14">
      <c r="B108" s="1021" t="s">
        <v>661</v>
      </c>
      <c r="C108" s="674">
        <v>36560</v>
      </c>
      <c r="D108"/>
      <c r="E108"/>
      <c r="F108"/>
      <c r="G108"/>
      <c r="H108"/>
      <c r="I108"/>
      <c r="J108"/>
      <c r="K108"/>
      <c r="L108"/>
      <c r="M108"/>
      <c r="N108"/>
    </row>
    <row r="109" spans="2:14">
      <c r="B109" s="1021" t="s">
        <v>657</v>
      </c>
      <c r="C109" s="674">
        <v>940</v>
      </c>
      <c r="D109"/>
      <c r="E109"/>
      <c r="F109"/>
      <c r="G109"/>
      <c r="H109"/>
      <c r="I109"/>
      <c r="J109"/>
      <c r="K109"/>
      <c r="L109"/>
      <c r="M109"/>
      <c r="N109"/>
    </row>
    <row r="110" spans="2:14" ht="18.75">
      <c r="B110" s="682" t="s">
        <v>77</v>
      </c>
      <c r="C110" s="674"/>
      <c r="D110"/>
      <c r="E110"/>
      <c r="F110"/>
      <c r="G110"/>
      <c r="H110"/>
      <c r="I110"/>
      <c r="J110"/>
      <c r="K110"/>
      <c r="L110"/>
      <c r="M110"/>
      <c r="N110"/>
    </row>
    <row r="111" spans="2:14">
      <c r="B111" s="1021" t="s">
        <v>660</v>
      </c>
      <c r="C111" s="674">
        <v>157000</v>
      </c>
      <c r="D111"/>
      <c r="E111"/>
      <c r="F111"/>
      <c r="G111"/>
      <c r="H111"/>
      <c r="I111"/>
      <c r="J111"/>
      <c r="K111"/>
      <c r="L111"/>
      <c r="M111"/>
      <c r="N111"/>
    </row>
    <row r="112" spans="2:14">
      <c r="B112" s="1021" t="s">
        <v>661</v>
      </c>
      <c r="C112" s="674">
        <v>157000</v>
      </c>
      <c r="D112"/>
      <c r="E112"/>
      <c r="F112"/>
      <c r="G112"/>
      <c r="H112"/>
      <c r="I112"/>
      <c r="J112"/>
      <c r="K112"/>
      <c r="L112"/>
      <c r="M112"/>
      <c r="N112"/>
    </row>
    <row r="113" spans="2:14">
      <c r="B113" s="1021" t="s">
        <v>657</v>
      </c>
      <c r="C113" s="674">
        <v>0</v>
      </c>
      <c r="D113"/>
      <c r="E113"/>
      <c r="F113"/>
      <c r="G113"/>
      <c r="H113"/>
      <c r="I113"/>
      <c r="J113"/>
      <c r="K113"/>
      <c r="L113"/>
      <c r="M113"/>
      <c r="N113"/>
    </row>
    <row r="114" spans="2:14" ht="18.75">
      <c r="B114" s="682" t="s">
        <v>87</v>
      </c>
      <c r="C114" s="674"/>
      <c r="D114"/>
      <c r="E114"/>
      <c r="F114"/>
      <c r="G114"/>
      <c r="H114"/>
      <c r="I114"/>
      <c r="J114"/>
      <c r="K114"/>
      <c r="L114"/>
      <c r="M114"/>
      <c r="N114"/>
    </row>
    <row r="115" spans="2:14">
      <c r="B115" s="1021" t="s">
        <v>660</v>
      </c>
      <c r="C115" s="674">
        <v>282000</v>
      </c>
      <c r="D115"/>
      <c r="E115"/>
      <c r="F115"/>
      <c r="G115"/>
      <c r="H115"/>
      <c r="I115"/>
      <c r="J115"/>
      <c r="K115"/>
      <c r="L115"/>
      <c r="M115"/>
      <c r="N115"/>
    </row>
    <row r="116" spans="2:14">
      <c r="B116" s="1021" t="s">
        <v>661</v>
      </c>
      <c r="C116" s="674">
        <v>248582.5</v>
      </c>
      <c r="D116"/>
      <c r="E116"/>
      <c r="F116"/>
      <c r="G116"/>
      <c r="H116"/>
      <c r="I116"/>
      <c r="J116"/>
      <c r="K116"/>
      <c r="L116"/>
      <c r="M116"/>
      <c r="N116"/>
    </row>
    <row r="117" spans="2:14">
      <c r="B117" s="1021" t="s">
        <v>657</v>
      </c>
      <c r="C117" s="674">
        <v>33417.5</v>
      </c>
      <c r="D117"/>
      <c r="E117"/>
      <c r="F117"/>
      <c r="G117"/>
      <c r="H117"/>
      <c r="I117"/>
      <c r="J117"/>
      <c r="K117"/>
      <c r="L117"/>
      <c r="M117"/>
      <c r="N117"/>
    </row>
    <row r="118" spans="2:14" ht="18.75">
      <c r="B118" s="682" t="s">
        <v>85</v>
      </c>
      <c r="C118" s="674"/>
      <c r="D118"/>
      <c r="E118"/>
      <c r="F118"/>
      <c r="G118"/>
      <c r="H118"/>
      <c r="I118"/>
      <c r="J118"/>
      <c r="K118"/>
      <c r="L118"/>
      <c r="M118"/>
      <c r="N118"/>
    </row>
    <row r="119" spans="2:14">
      <c r="B119" s="1021" t="s">
        <v>660</v>
      </c>
      <c r="C119" s="674">
        <v>758200</v>
      </c>
      <c r="D119"/>
      <c r="E119"/>
      <c r="F119"/>
      <c r="G119"/>
      <c r="H119"/>
      <c r="I119"/>
      <c r="J119"/>
      <c r="K119"/>
      <c r="L119"/>
      <c r="M119"/>
      <c r="N119"/>
    </row>
    <row r="120" spans="2:14">
      <c r="B120" s="1021" t="s">
        <v>661</v>
      </c>
      <c r="C120" s="674">
        <v>708140</v>
      </c>
      <c r="D120"/>
      <c r="E120"/>
      <c r="F120"/>
      <c r="G120"/>
      <c r="H120"/>
      <c r="I120"/>
      <c r="J120"/>
      <c r="K120"/>
      <c r="L120"/>
      <c r="M120"/>
      <c r="N120"/>
    </row>
    <row r="121" spans="2:14">
      <c r="B121" s="1021" t="s">
        <v>657</v>
      </c>
      <c r="C121" s="674">
        <v>50060</v>
      </c>
      <c r="D121"/>
      <c r="E121"/>
      <c r="F121"/>
      <c r="G121"/>
      <c r="H121"/>
      <c r="I121"/>
      <c r="J121"/>
      <c r="K121"/>
      <c r="L121"/>
      <c r="M121"/>
      <c r="N121"/>
    </row>
    <row r="122" spans="2:14" ht="18.75">
      <c r="B122" s="682" t="s">
        <v>86</v>
      </c>
      <c r="C122" s="674"/>
      <c r="D122"/>
      <c r="E122"/>
      <c r="F122"/>
      <c r="G122"/>
      <c r="H122"/>
      <c r="I122"/>
      <c r="J122"/>
      <c r="K122"/>
      <c r="L122"/>
      <c r="M122"/>
      <c r="N122"/>
    </row>
    <row r="123" spans="2:14">
      <c r="B123" s="1021" t="s">
        <v>660</v>
      </c>
      <c r="C123" s="674">
        <v>143000</v>
      </c>
      <c r="D123"/>
      <c r="E123"/>
      <c r="F123"/>
      <c r="G123"/>
      <c r="H123"/>
      <c r="I123"/>
      <c r="J123"/>
      <c r="K123"/>
      <c r="L123"/>
      <c r="M123"/>
      <c r="N123"/>
    </row>
    <row r="124" spans="2:14">
      <c r="B124" s="1021" t="s">
        <v>661</v>
      </c>
      <c r="C124" s="674">
        <v>94300</v>
      </c>
      <c r="D124"/>
      <c r="E124"/>
      <c r="F124"/>
      <c r="G124"/>
      <c r="H124"/>
      <c r="I124"/>
      <c r="J124"/>
      <c r="K124"/>
      <c r="L124"/>
      <c r="M124"/>
      <c r="N124"/>
    </row>
    <row r="125" spans="2:14">
      <c r="B125" s="1021" t="s">
        <v>657</v>
      </c>
      <c r="C125" s="674">
        <v>48700</v>
      </c>
      <c r="D125"/>
      <c r="E125"/>
      <c r="F125"/>
      <c r="G125"/>
      <c r="H125"/>
      <c r="I125"/>
      <c r="J125"/>
      <c r="K125"/>
      <c r="L125"/>
      <c r="M125"/>
      <c r="N125"/>
    </row>
    <row r="126" spans="2:14" ht="18.75">
      <c r="B126" s="682" t="s">
        <v>162</v>
      </c>
      <c r="C126" s="674"/>
      <c r="D126"/>
      <c r="E126"/>
      <c r="F126"/>
      <c r="G126"/>
      <c r="H126"/>
      <c r="I126"/>
      <c r="J126"/>
      <c r="K126"/>
      <c r="L126"/>
      <c r="M126"/>
      <c r="N126"/>
    </row>
    <row r="127" spans="2:14">
      <c r="B127" s="1021" t="s">
        <v>660</v>
      </c>
      <c r="C127" s="674">
        <v>64.619</v>
      </c>
      <c r="D127"/>
      <c r="E127"/>
      <c r="F127"/>
      <c r="G127"/>
      <c r="H127"/>
      <c r="I127"/>
      <c r="J127"/>
      <c r="K127"/>
      <c r="L127"/>
      <c r="M127"/>
      <c r="N127"/>
    </row>
    <row r="128" spans="2:14">
      <c r="B128" s="1021" t="s">
        <v>661</v>
      </c>
      <c r="C128" s="674">
        <v>61.900999999999996</v>
      </c>
      <c r="D128"/>
      <c r="E128"/>
      <c r="F128"/>
      <c r="G128"/>
      <c r="H128"/>
      <c r="I128"/>
      <c r="J128"/>
      <c r="K128"/>
      <c r="L128"/>
      <c r="M128"/>
      <c r="N128"/>
    </row>
    <row r="129" spans="1:15">
      <c r="B129" s="1021" t="s">
        <v>657</v>
      </c>
      <c r="C129" s="674">
        <v>2.7180000000000035</v>
      </c>
      <c r="D129"/>
      <c r="E129"/>
      <c r="F129"/>
      <c r="G129"/>
      <c r="H129"/>
      <c r="I129"/>
      <c r="J129"/>
      <c r="K129"/>
      <c r="L129"/>
      <c r="M129"/>
      <c r="N129"/>
    </row>
    <row r="130" spans="1:15" ht="18.75">
      <c r="B130" s="682" t="s">
        <v>164</v>
      </c>
      <c r="C130" s="674"/>
      <c r="D130"/>
      <c r="E130"/>
      <c r="F130"/>
      <c r="G130"/>
      <c r="H130"/>
      <c r="I130"/>
      <c r="J130"/>
      <c r="K130"/>
      <c r="L130"/>
      <c r="M130"/>
      <c r="N130"/>
    </row>
    <row r="131" spans="1:15">
      <c r="B131" s="1021" t="s">
        <v>660</v>
      </c>
      <c r="C131" s="674">
        <v>10816.569000000001</v>
      </c>
      <c r="D131"/>
      <c r="E131"/>
      <c r="F131"/>
      <c r="G131"/>
      <c r="H131"/>
      <c r="I131"/>
      <c r="J131"/>
      <c r="K131"/>
      <c r="L131"/>
      <c r="M131"/>
      <c r="N131"/>
    </row>
    <row r="132" spans="1:15">
      <c r="B132" s="1021" t="s">
        <v>661</v>
      </c>
      <c r="C132" s="674">
        <v>3166.5</v>
      </c>
      <c r="D132"/>
      <c r="E132"/>
      <c r="F132"/>
      <c r="G132"/>
      <c r="H132"/>
      <c r="I132"/>
      <c r="J132"/>
      <c r="K132"/>
      <c r="L132"/>
      <c r="M132"/>
      <c r="N132"/>
    </row>
    <row r="133" spans="1:15">
      <c r="B133" s="1021" t="s">
        <v>657</v>
      </c>
      <c r="C133" s="674">
        <v>7650.0690000000013</v>
      </c>
      <c r="D133"/>
      <c r="E133"/>
      <c r="F133"/>
      <c r="G133"/>
      <c r="H133"/>
      <c r="I133"/>
      <c r="J133"/>
      <c r="K133"/>
      <c r="L133"/>
      <c r="M133"/>
      <c r="N133"/>
    </row>
    <row r="134" spans="1:15">
      <c r="C134"/>
      <c r="D134"/>
      <c r="E134"/>
      <c r="F134"/>
      <c r="G134"/>
      <c r="H134"/>
      <c r="I134"/>
      <c r="J134"/>
      <c r="K134"/>
      <c r="L134"/>
      <c r="M134"/>
      <c r="N134"/>
    </row>
    <row r="137" spans="1:15">
      <c r="A137" s="675" t="s">
        <v>715</v>
      </c>
      <c r="B137" s="1020" t="s">
        <v>714</v>
      </c>
      <c r="C137" s="1020" t="s">
        <v>651</v>
      </c>
      <c r="D137"/>
      <c r="E137"/>
      <c r="F137"/>
      <c r="G137"/>
      <c r="H137"/>
      <c r="I137"/>
      <c r="J137"/>
      <c r="K137"/>
      <c r="L137"/>
      <c r="M137"/>
      <c r="N137"/>
    </row>
    <row r="138" spans="1:15">
      <c r="C138" t="s">
        <v>649</v>
      </c>
      <c r="D138"/>
      <c r="E138"/>
      <c r="F138"/>
      <c r="G138"/>
      <c r="H138"/>
      <c r="I138"/>
      <c r="J138"/>
      <c r="K138"/>
      <c r="L138"/>
      <c r="M138"/>
      <c r="N138"/>
      <c r="O138" t="s">
        <v>648</v>
      </c>
    </row>
    <row r="139" spans="1:15">
      <c r="B139" s="1020" t="s">
        <v>713</v>
      </c>
      <c r="C139" s="1255" t="s">
        <v>650</v>
      </c>
      <c r="D139" s="1255" t="s">
        <v>705</v>
      </c>
      <c r="E139" s="1255" t="s">
        <v>706</v>
      </c>
      <c r="F139" s="1255" t="s">
        <v>707</v>
      </c>
      <c r="G139" s="1255" t="s">
        <v>708</v>
      </c>
      <c r="H139" s="1255" t="s">
        <v>413</v>
      </c>
      <c r="I139" s="1255" t="s">
        <v>709</v>
      </c>
      <c r="J139" s="1255" t="s">
        <v>710</v>
      </c>
      <c r="K139" s="1255" t="s">
        <v>414</v>
      </c>
      <c r="L139" s="1255" t="s">
        <v>711</v>
      </c>
      <c r="M139" s="1255" t="s">
        <v>415</v>
      </c>
      <c r="N139" s="1255" t="s">
        <v>712</v>
      </c>
    </row>
    <row r="140" spans="1:15">
      <c r="B140" s="202" t="s">
        <v>652</v>
      </c>
      <c r="C140" s="674">
        <v>1000</v>
      </c>
      <c r="D140" s="674">
        <v>1600</v>
      </c>
      <c r="E140" s="674">
        <v>2200</v>
      </c>
      <c r="F140" s="674">
        <v>1800</v>
      </c>
      <c r="G140" s="674">
        <v>1000</v>
      </c>
      <c r="H140" s="674">
        <v>2200</v>
      </c>
      <c r="I140" s="674">
        <v>800</v>
      </c>
      <c r="J140" s="674">
        <v>800</v>
      </c>
      <c r="K140" s="674">
        <v>1000</v>
      </c>
      <c r="L140" s="674">
        <v>800</v>
      </c>
      <c r="M140" s="674">
        <v>1000</v>
      </c>
      <c r="N140" s="674"/>
      <c r="O140" s="475">
        <v>14200</v>
      </c>
    </row>
    <row r="141" spans="1:15">
      <c r="B141" s="202" t="s">
        <v>161</v>
      </c>
      <c r="C141" s="674">
        <v>600</v>
      </c>
      <c r="D141" s="674">
        <v>600</v>
      </c>
      <c r="E141" s="674">
        <v>1000</v>
      </c>
      <c r="F141" s="674">
        <v>800</v>
      </c>
      <c r="G141" s="674"/>
      <c r="H141" s="674">
        <v>400</v>
      </c>
      <c r="I141" s="674">
        <v>400</v>
      </c>
      <c r="J141" s="674">
        <v>800</v>
      </c>
      <c r="K141" s="674"/>
      <c r="L141" s="674">
        <v>600</v>
      </c>
      <c r="M141" s="674">
        <v>800</v>
      </c>
      <c r="N141" s="674"/>
      <c r="O141" s="475">
        <v>6000</v>
      </c>
    </row>
    <row r="142" spans="1:15">
      <c r="B142" s="202" t="s">
        <v>166</v>
      </c>
      <c r="C142" s="674">
        <v>1060</v>
      </c>
      <c r="D142" s="674"/>
      <c r="E142" s="674"/>
      <c r="F142" s="674"/>
      <c r="G142" s="674">
        <v>940</v>
      </c>
      <c r="H142" s="674"/>
      <c r="I142" s="674"/>
      <c r="J142" s="674"/>
      <c r="K142" s="674"/>
      <c r="L142" s="674"/>
      <c r="M142" s="674"/>
      <c r="N142" s="674"/>
      <c r="O142" s="475">
        <v>2000</v>
      </c>
    </row>
    <row r="143" spans="1:15">
      <c r="B143" s="202" t="s">
        <v>461</v>
      </c>
      <c r="C143" s="674"/>
      <c r="D143" s="674"/>
      <c r="E143" s="674"/>
      <c r="F143" s="674"/>
      <c r="G143" s="674"/>
      <c r="H143" s="674">
        <v>800</v>
      </c>
      <c r="I143" s="674"/>
      <c r="J143" s="674"/>
      <c r="K143" s="674">
        <v>600</v>
      </c>
      <c r="L143" s="674"/>
      <c r="M143" s="674"/>
      <c r="N143" s="674">
        <v>600</v>
      </c>
      <c r="O143" s="475">
        <v>2000</v>
      </c>
    </row>
    <row r="144" spans="1:15">
      <c r="B144" s="202" t="s">
        <v>56</v>
      </c>
      <c r="C144" s="674">
        <v>7400</v>
      </c>
      <c r="D144" s="674">
        <v>3100</v>
      </c>
      <c r="E144" s="674">
        <v>6000</v>
      </c>
      <c r="F144" s="674">
        <v>2000</v>
      </c>
      <c r="G144" s="674">
        <v>2000</v>
      </c>
      <c r="H144" s="674">
        <v>6000</v>
      </c>
      <c r="I144" s="674">
        <v>3000</v>
      </c>
      <c r="J144" s="674">
        <v>2000</v>
      </c>
      <c r="K144" s="674"/>
      <c r="L144" s="674"/>
      <c r="M144" s="674">
        <v>6000</v>
      </c>
      <c r="N144" s="674"/>
      <c r="O144" s="475">
        <v>37500</v>
      </c>
    </row>
    <row r="145" spans="2:15">
      <c r="B145" s="202" t="s">
        <v>87</v>
      </c>
      <c r="C145" s="674">
        <v>20000</v>
      </c>
      <c r="D145" s="674"/>
      <c r="E145" s="674">
        <v>14000</v>
      </c>
      <c r="F145" s="674">
        <v>28000</v>
      </c>
      <c r="G145" s="674">
        <v>34000</v>
      </c>
      <c r="H145" s="674">
        <v>35000</v>
      </c>
      <c r="I145" s="674">
        <v>46000</v>
      </c>
      <c r="J145" s="674">
        <v>45000</v>
      </c>
      <c r="K145" s="674">
        <v>30000</v>
      </c>
      <c r="L145" s="674">
        <v>10000</v>
      </c>
      <c r="M145" s="674">
        <v>10000</v>
      </c>
      <c r="N145" s="674">
        <v>10000</v>
      </c>
      <c r="O145" s="475">
        <v>282000</v>
      </c>
    </row>
    <row r="146" spans="2:15">
      <c r="B146" s="202" t="s">
        <v>85</v>
      </c>
      <c r="C146" s="674">
        <v>188000</v>
      </c>
      <c r="D146" s="674"/>
      <c r="E146" s="674"/>
      <c r="F146" s="674"/>
      <c r="G146" s="674">
        <v>192000</v>
      </c>
      <c r="H146" s="674"/>
      <c r="I146" s="674">
        <v>99200</v>
      </c>
      <c r="J146" s="674">
        <v>20000</v>
      </c>
      <c r="K146" s="674">
        <v>6000</v>
      </c>
      <c r="L146" s="674">
        <v>38000</v>
      </c>
      <c r="M146" s="674">
        <v>165000</v>
      </c>
      <c r="N146" s="674">
        <v>50000</v>
      </c>
      <c r="O146" s="475">
        <v>758200</v>
      </c>
    </row>
    <row r="147" spans="2:15">
      <c r="B147" s="202" t="s">
        <v>86</v>
      </c>
      <c r="C147" s="674">
        <v>21000</v>
      </c>
      <c r="D147" s="674"/>
      <c r="E147" s="674"/>
      <c r="F147" s="674"/>
      <c r="G147" s="674">
        <v>54000</v>
      </c>
      <c r="H147" s="674"/>
      <c r="I147" s="674">
        <v>12000</v>
      </c>
      <c r="J147" s="674"/>
      <c r="K147" s="674">
        <v>3000</v>
      </c>
      <c r="L147" s="674">
        <v>4000</v>
      </c>
      <c r="M147" s="674">
        <v>31000</v>
      </c>
      <c r="N147" s="674">
        <v>18000</v>
      </c>
      <c r="O147" s="475">
        <v>143000</v>
      </c>
    </row>
    <row r="148" spans="2:15">
      <c r="B148" s="202" t="s">
        <v>162</v>
      </c>
      <c r="C148" s="674">
        <v>6.2270000000000003</v>
      </c>
      <c r="D148" s="674">
        <v>6.4329999999999998</v>
      </c>
      <c r="E148" s="674">
        <v>8.2370000000000001</v>
      </c>
      <c r="F148" s="674">
        <v>6.0820000000000007</v>
      </c>
      <c r="G148" s="674">
        <v>5.2940000000000005</v>
      </c>
      <c r="H148" s="674">
        <v>5.7380000000000004</v>
      </c>
      <c r="I148" s="674">
        <v>4.3499999999999996</v>
      </c>
      <c r="J148" s="674">
        <v>4.9820000000000002</v>
      </c>
      <c r="K148" s="674">
        <v>2.7370000000000001</v>
      </c>
      <c r="L148" s="674">
        <v>3.9240000000000004</v>
      </c>
      <c r="M148" s="674">
        <v>4.694</v>
      </c>
      <c r="N148" s="674">
        <v>5.9210000000000003</v>
      </c>
      <c r="O148" s="475">
        <v>64.619</v>
      </c>
    </row>
    <row r="149" spans="2:15">
      <c r="B149" s="202" t="s">
        <v>164</v>
      </c>
      <c r="C149" s="674">
        <v>7419.32</v>
      </c>
      <c r="D149" s="674">
        <v>326.8</v>
      </c>
      <c r="E149" s="674">
        <v>98.1</v>
      </c>
      <c r="F149" s="674">
        <v>304.61599999999993</v>
      </c>
      <c r="G149" s="674">
        <v>222.76299999999998</v>
      </c>
      <c r="H149" s="674">
        <v>406.59000000000003</v>
      </c>
      <c r="I149" s="674">
        <v>701.4</v>
      </c>
      <c r="J149" s="674">
        <v>599.49</v>
      </c>
      <c r="K149" s="674"/>
      <c r="L149" s="674"/>
      <c r="M149" s="674">
        <v>737.49</v>
      </c>
      <c r="N149" s="674"/>
      <c r="O149" s="475">
        <v>10816.569</v>
      </c>
    </row>
    <row r="150" spans="2:15">
      <c r="B150" s="202" t="s">
        <v>77</v>
      </c>
      <c r="C150" s="674"/>
      <c r="D150" s="674"/>
      <c r="E150" s="674">
        <v>50000</v>
      </c>
      <c r="F150" s="674">
        <v>61000</v>
      </c>
      <c r="G150" s="674">
        <v>46000</v>
      </c>
      <c r="H150" s="674"/>
      <c r="I150" s="674"/>
      <c r="J150" s="674"/>
      <c r="K150" s="674"/>
      <c r="L150" s="674"/>
      <c r="M150" s="674"/>
      <c r="N150" s="674"/>
      <c r="O150" s="475">
        <v>157000</v>
      </c>
    </row>
    <row r="151" spans="2:15">
      <c r="B151" s="202" t="s">
        <v>553</v>
      </c>
      <c r="C151" s="674"/>
      <c r="D151" s="674"/>
      <c r="E151" s="674"/>
      <c r="F151" s="674"/>
      <c r="G151" s="674"/>
      <c r="H151" s="674"/>
      <c r="I151" s="674"/>
      <c r="J151" s="674">
        <v>20</v>
      </c>
      <c r="K151" s="674"/>
      <c r="L151" s="674"/>
      <c r="M151" s="674"/>
      <c r="N151" s="674"/>
      <c r="O151" s="475">
        <v>20</v>
      </c>
    </row>
    <row r="152" spans="2:15">
      <c r="B152" s="202" t="s">
        <v>648</v>
      </c>
      <c r="C152" s="674">
        <v>246485.54700000002</v>
      </c>
      <c r="D152" s="674">
        <v>5633.2330000000002</v>
      </c>
      <c r="E152" s="674">
        <v>73306.337</v>
      </c>
      <c r="F152" s="674">
        <v>93910.698000000004</v>
      </c>
      <c r="G152" s="674">
        <v>330168.05699999997</v>
      </c>
      <c r="H152" s="674">
        <v>44812.327999999994</v>
      </c>
      <c r="I152" s="674">
        <v>162105.75</v>
      </c>
      <c r="J152" s="674">
        <v>69224.472000000009</v>
      </c>
      <c r="K152" s="674">
        <v>40602.737000000001</v>
      </c>
      <c r="L152" s="674">
        <v>53403.923999999999</v>
      </c>
      <c r="M152" s="674">
        <v>214542.18399999998</v>
      </c>
      <c r="N152" s="674">
        <v>78605.921000000002</v>
      </c>
      <c r="O152" s="475">
        <v>1412801.1879999998</v>
      </c>
    </row>
    <row r="153" spans="2:15">
      <c r="C153"/>
      <c r="D153"/>
      <c r="E153"/>
      <c r="F153"/>
      <c r="G153"/>
      <c r="H153"/>
      <c r="I153"/>
      <c r="J153"/>
      <c r="K153"/>
      <c r="L153"/>
      <c r="M153"/>
      <c r="N153"/>
    </row>
  </sheetData>
  <conditionalFormatting pivot="1" sqref="C8:L21">
    <cfRule type="cellIs" dxfId="147" priority="1" operator="equal">
      <formula>0</formula>
    </cfRule>
  </conditionalFormatting>
  <pageMargins left="0.7" right="0.7" top="0.75" bottom="0.75" header="0.3" footer="0.3"/>
  <pageSetup paperSize="9" orientation="portrait" horizontalDpi="0" verticalDpi="0"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5F855-2EC3-47D9-9423-FB0CDC97FBFD}">
  <sheetPr codeName="Hoja4">
    <tabColor theme="5"/>
  </sheetPr>
  <dimension ref="B1:S569"/>
  <sheetViews>
    <sheetView workbookViewId="0"/>
  </sheetViews>
  <sheetFormatPr baseColWidth="10" defaultColWidth="14.28515625" defaultRowHeight="15"/>
  <cols>
    <col min="1" max="1" width="10.42578125" customWidth="1"/>
    <col min="2" max="2" width="7.5703125" bestFit="1" customWidth="1"/>
    <col min="3" max="3" width="10.85546875" style="202" hidden="1" customWidth="1"/>
    <col min="4" max="4" width="11" customWidth="1"/>
    <col min="5" max="5" width="12.42578125" customWidth="1"/>
    <col min="6" max="6" width="9.28515625" style="77" hidden="1" customWidth="1"/>
    <col min="7" max="7" width="10" style="77" hidden="1" customWidth="1"/>
    <col min="8" max="8" width="11.28515625" style="77" hidden="1" customWidth="1"/>
    <col min="9" max="9" width="6.42578125" style="77" hidden="1" customWidth="1"/>
    <col min="10" max="10" width="13.28515625" customWidth="1"/>
    <col min="11" max="11" width="10" customWidth="1"/>
    <col min="12" max="12" width="16.140625" customWidth="1"/>
    <col min="13" max="13" width="19.85546875" customWidth="1"/>
    <col min="14" max="14" width="14.42578125" customWidth="1"/>
    <col min="15" max="15" width="14.5703125" customWidth="1"/>
    <col min="16" max="16" width="16" customWidth="1"/>
    <col min="17" max="17" width="15.140625" customWidth="1"/>
    <col min="18" max="18" width="14.28515625" customWidth="1"/>
    <col min="19" max="19" width="16.5703125" bestFit="1" customWidth="1"/>
    <col min="21" max="21" width="18.85546875" customWidth="1"/>
  </cols>
  <sheetData>
    <row r="1" spans="2:19">
      <c r="E1" s="459"/>
      <c r="J1" s="80"/>
      <c r="K1" s="460"/>
      <c r="L1" s="460"/>
      <c r="M1" s="461">
        <f>(N1*O1)</f>
        <v>396102</v>
      </c>
      <c r="N1" s="462">
        <f>SUMPRODUCT(N2:N5,O2:O5)/SUM(O2:O5)</f>
        <v>3.1436666666666668</v>
      </c>
      <c r="O1" s="463">
        <f>SUM(O2:O5)</f>
        <v>126000</v>
      </c>
      <c r="P1" s="461">
        <f>SUM(P2:P5)</f>
        <v>396102</v>
      </c>
    </row>
    <row r="2" spans="2:19">
      <c r="E2" s="79"/>
      <c r="J2" s="80"/>
      <c r="K2" s="464"/>
      <c r="L2" s="464"/>
      <c r="M2" s="86" t="s">
        <v>85</v>
      </c>
      <c r="N2" s="465">
        <v>2</v>
      </c>
      <c r="O2" s="466">
        <v>68820</v>
      </c>
      <c r="P2" s="78">
        <f>(N2*O2)</f>
        <v>137640</v>
      </c>
    </row>
    <row r="3" spans="2:19">
      <c r="E3" s="79"/>
      <c r="J3" s="80"/>
      <c r="K3" s="77"/>
      <c r="L3" s="464"/>
      <c r="M3" s="86" t="s">
        <v>87</v>
      </c>
      <c r="N3" s="467">
        <v>1.2</v>
      </c>
      <c r="O3" s="468">
        <v>41160</v>
      </c>
      <c r="P3" s="78">
        <f>(N3*O3)</f>
        <v>49392</v>
      </c>
    </row>
    <row r="4" spans="2:19">
      <c r="E4" s="79"/>
      <c r="J4" s="80"/>
      <c r="K4" s="464"/>
      <c r="L4" s="464"/>
      <c r="M4" s="86" t="s">
        <v>56</v>
      </c>
      <c r="N4" s="465">
        <v>80</v>
      </c>
      <c r="O4" s="466">
        <v>2000</v>
      </c>
      <c r="P4" s="78">
        <f>(N4*O4)</f>
        <v>160000</v>
      </c>
    </row>
    <row r="5" spans="2:19">
      <c r="E5" s="79"/>
      <c r="J5" s="80"/>
      <c r="K5" s="464"/>
      <c r="L5" s="464"/>
      <c r="M5" s="469" t="s">
        <v>86</v>
      </c>
      <c r="N5" s="465">
        <v>3.5</v>
      </c>
      <c r="O5" s="470">
        <v>14020</v>
      </c>
      <c r="P5" s="78">
        <f>(N5*O5)</f>
        <v>49070</v>
      </c>
    </row>
    <row r="6" spans="2:19">
      <c r="E6" s="464"/>
      <c r="J6" s="80"/>
      <c r="K6" s="464"/>
      <c r="L6" s="464"/>
      <c r="Q6" s="78"/>
    </row>
    <row r="7" spans="2:19">
      <c r="F7" s="81"/>
      <c r="G7" s="81"/>
      <c r="H7" s="81"/>
      <c r="J7" s="80"/>
      <c r="K7" s="471"/>
      <c r="L7" s="471"/>
      <c r="M7" s="471"/>
      <c r="N7" s="472">
        <f>(O7-O8)/O7</f>
        <v>1</v>
      </c>
      <c r="O7" s="473">
        <v>80000</v>
      </c>
      <c r="P7" s="474">
        <f>(P8*50)</f>
        <v>-4715000</v>
      </c>
      <c r="Q7" s="475"/>
      <c r="R7" s="78">
        <f>(R8/12)</f>
        <v>27259.166666666668</v>
      </c>
    </row>
    <row r="8" spans="2:19">
      <c r="E8" s="476"/>
      <c r="F8" s="477"/>
      <c r="G8" s="477"/>
      <c r="H8" s="477"/>
      <c r="I8" s="143"/>
      <c r="J8" s="460"/>
      <c r="K8" s="476"/>
      <c r="L8" s="471"/>
      <c r="M8" s="476"/>
      <c r="N8" s="80">
        <f>SUMPRODUCT(N310:N314,O310:O314)/SUM(O310:O314)</f>
        <v>0</v>
      </c>
      <c r="O8" s="473">
        <f>(O9*500)/1000</f>
        <v>0</v>
      </c>
      <c r="P8" s="478">
        <f>(O9-P9)</f>
        <v>-94300</v>
      </c>
      <c r="Q8" s="318">
        <f>IF(R8&gt;0,R8/R9,0)</f>
        <v>1</v>
      </c>
      <c r="R8" s="479">
        <f>R9-Q9</f>
        <v>327110</v>
      </c>
    </row>
    <row r="9" spans="2:19" ht="15.75" customHeight="1" thickBot="1">
      <c r="E9" s="77"/>
      <c r="F9" s="81"/>
      <c r="G9" s="81"/>
      <c r="H9" s="81"/>
      <c r="I9" s="81"/>
      <c r="J9" s="81"/>
      <c r="K9" s="81"/>
      <c r="L9" s="81"/>
      <c r="M9" s="480" t="e">
        <f>SUBTOTAL(1,M11:M569)</f>
        <v>#DIV/0!</v>
      </c>
      <c r="N9" s="480">
        <f>SUBTOTAL(1,N11:N569)</f>
        <v>3.5</v>
      </c>
      <c r="O9" s="481">
        <f>SUBTOTAL(9,O11:O569)</f>
        <v>0</v>
      </c>
      <c r="P9" s="481">
        <f>SUBTOTAL(9,P11:P569)</f>
        <v>94300</v>
      </c>
      <c r="Q9" s="479">
        <f>SUBTOTAL(9,Q11:Q569)</f>
        <v>0</v>
      </c>
      <c r="R9" s="479">
        <f>SUBTOTAL(9,R11:R569)</f>
        <v>327110</v>
      </c>
      <c r="S9" s="78"/>
    </row>
    <row r="10" spans="2:19" ht="78.75">
      <c r="B10" s="482" t="s">
        <v>0</v>
      </c>
      <c r="C10" s="1269" t="s">
        <v>55</v>
      </c>
      <c r="D10" s="483" t="s">
        <v>54</v>
      </c>
      <c r="E10" s="483" t="s">
        <v>57</v>
      </c>
      <c r="F10" s="484" t="s">
        <v>53</v>
      </c>
      <c r="G10" s="484" t="s">
        <v>427</v>
      </c>
      <c r="H10" s="484" t="s">
        <v>92</v>
      </c>
      <c r="I10" s="485" t="s">
        <v>52</v>
      </c>
      <c r="J10" s="486" t="s">
        <v>82</v>
      </c>
      <c r="K10" s="486" t="s">
        <v>75</v>
      </c>
      <c r="L10" s="486" t="s">
        <v>434</v>
      </c>
      <c r="M10" s="486" t="s">
        <v>435</v>
      </c>
      <c r="N10" s="486" t="s">
        <v>436</v>
      </c>
      <c r="O10" s="486" t="s">
        <v>84</v>
      </c>
      <c r="P10" s="486" t="s">
        <v>83</v>
      </c>
      <c r="Q10" s="487" t="s">
        <v>78</v>
      </c>
      <c r="R10" s="488" t="s">
        <v>79</v>
      </c>
    </row>
    <row r="11" spans="2:19" ht="15" hidden="1" customHeight="1">
      <c r="B11" s="489">
        <v>1</v>
      </c>
      <c r="C11" s="490"/>
      <c r="D11" s="718">
        <f t="shared" ref="D11:D74" si="0">WEEKNUM(E11,21)</f>
        <v>1</v>
      </c>
      <c r="E11" s="683">
        <v>44928</v>
      </c>
      <c r="F11" s="491"/>
      <c r="G11" s="491"/>
      <c r="H11" s="491"/>
      <c r="I11" s="492"/>
      <c r="J11" s="491" t="s">
        <v>81</v>
      </c>
      <c r="K11" s="493" t="s">
        <v>56</v>
      </c>
      <c r="L11" s="491" t="s">
        <v>91</v>
      </c>
      <c r="M11" s="494">
        <v>27.769467619047621</v>
      </c>
      <c r="N11" s="494"/>
      <c r="O11" s="495">
        <v>4400</v>
      </c>
      <c r="P11" s="495"/>
      <c r="Q11" s="496">
        <f t="shared" ref="Q11:Q74" si="1">IF((M11*O11)&lt;=0,"",(M11*O11))</f>
        <v>122185.65752380952</v>
      </c>
      <c r="R11" s="497" t="str">
        <f t="shared" ref="R11:R74" si="2">IF((N11*P11)&lt;=0,"",(N11*P11))</f>
        <v/>
      </c>
    </row>
    <row r="12" spans="2:19" ht="15" hidden="1" customHeight="1">
      <c r="B12" s="84">
        <v>2</v>
      </c>
      <c r="C12" s="498"/>
      <c r="D12" s="718">
        <f t="shared" si="0"/>
        <v>1</v>
      </c>
      <c r="E12" s="684">
        <v>44928</v>
      </c>
      <c r="F12" s="85"/>
      <c r="G12" s="85"/>
      <c r="H12" s="85"/>
      <c r="I12" s="86"/>
      <c r="J12" s="85" t="s">
        <v>81</v>
      </c>
      <c r="K12" s="85" t="s">
        <v>56</v>
      </c>
      <c r="L12" s="85" t="s">
        <v>91</v>
      </c>
      <c r="M12" s="467">
        <v>27.769467619047621</v>
      </c>
      <c r="N12" s="467"/>
      <c r="O12" s="468">
        <v>2000</v>
      </c>
      <c r="P12" s="468"/>
      <c r="Q12" s="499">
        <f t="shared" si="1"/>
        <v>55538.93523809524</v>
      </c>
      <c r="R12" s="500" t="str">
        <f t="shared" si="2"/>
        <v/>
      </c>
    </row>
    <row r="13" spans="2:19" ht="15" hidden="1" customHeight="1">
      <c r="B13" s="84">
        <v>3</v>
      </c>
      <c r="C13" s="498"/>
      <c r="D13" s="718">
        <f t="shared" si="0"/>
        <v>1</v>
      </c>
      <c r="E13" s="684">
        <v>44928</v>
      </c>
      <c r="F13" s="85" t="s">
        <v>112</v>
      </c>
      <c r="G13" s="85"/>
      <c r="H13" s="85"/>
      <c r="I13" s="86"/>
      <c r="J13" s="85" t="s">
        <v>74</v>
      </c>
      <c r="K13" s="85" t="s">
        <v>56</v>
      </c>
      <c r="L13" s="85" t="s">
        <v>91</v>
      </c>
      <c r="M13" s="467"/>
      <c r="N13" s="467">
        <v>40</v>
      </c>
      <c r="O13" s="468"/>
      <c r="P13" s="501">
        <v>4400</v>
      </c>
      <c r="Q13" s="499" t="str">
        <f t="shared" si="1"/>
        <v/>
      </c>
      <c r="R13" s="500">
        <f t="shared" si="2"/>
        <v>176000</v>
      </c>
    </row>
    <row r="14" spans="2:19" ht="15" hidden="1" customHeight="1">
      <c r="B14" s="84">
        <v>4</v>
      </c>
      <c r="C14" s="498"/>
      <c r="D14" s="718">
        <f t="shared" si="0"/>
        <v>1</v>
      </c>
      <c r="E14" s="684">
        <v>44928</v>
      </c>
      <c r="F14" s="85"/>
      <c r="G14" s="85"/>
      <c r="H14" s="85"/>
      <c r="I14" s="86"/>
      <c r="J14" s="85" t="s">
        <v>81</v>
      </c>
      <c r="K14" s="502" t="s">
        <v>87</v>
      </c>
      <c r="L14" s="85" t="s">
        <v>91</v>
      </c>
      <c r="M14" s="467">
        <v>0.75</v>
      </c>
      <c r="N14" s="467"/>
      <c r="O14" s="468">
        <v>20000</v>
      </c>
      <c r="P14" s="468"/>
      <c r="Q14" s="499">
        <f t="shared" si="1"/>
        <v>15000</v>
      </c>
      <c r="R14" s="500" t="str">
        <f t="shared" si="2"/>
        <v/>
      </c>
    </row>
    <row r="15" spans="2:19" ht="15" hidden="1" customHeight="1">
      <c r="B15" s="84">
        <v>5</v>
      </c>
      <c r="C15" s="498"/>
      <c r="D15" s="718">
        <f t="shared" si="0"/>
        <v>1</v>
      </c>
      <c r="E15" s="684">
        <v>44928</v>
      </c>
      <c r="F15" s="85"/>
      <c r="G15" s="85"/>
      <c r="H15" s="85"/>
      <c r="I15" s="86"/>
      <c r="J15" s="85" t="s">
        <v>81</v>
      </c>
      <c r="K15" s="502" t="s">
        <v>652</v>
      </c>
      <c r="L15" s="85" t="s">
        <v>185</v>
      </c>
      <c r="M15" s="467">
        <v>247.18544827008316</v>
      </c>
      <c r="N15" s="467"/>
      <c r="O15" s="468">
        <v>1000</v>
      </c>
      <c r="P15" s="468"/>
      <c r="Q15" s="499">
        <f t="shared" si="1"/>
        <v>247185.44827008314</v>
      </c>
      <c r="R15" s="500" t="str">
        <f t="shared" si="2"/>
        <v/>
      </c>
    </row>
    <row r="16" spans="2:19" ht="15" hidden="1" customHeight="1">
      <c r="B16" s="84">
        <v>6</v>
      </c>
      <c r="C16" s="498"/>
      <c r="D16" s="718">
        <f t="shared" si="0"/>
        <v>1</v>
      </c>
      <c r="E16" s="684">
        <v>44928</v>
      </c>
      <c r="F16" s="85"/>
      <c r="G16" s="85"/>
      <c r="H16" s="85"/>
      <c r="I16" s="86"/>
      <c r="J16" s="85" t="s">
        <v>81</v>
      </c>
      <c r="K16" s="502" t="s">
        <v>162</v>
      </c>
      <c r="L16" s="85" t="s">
        <v>163</v>
      </c>
      <c r="M16" s="467"/>
      <c r="N16" s="467"/>
      <c r="O16" s="468">
        <f>1085/1000</f>
        <v>1.085</v>
      </c>
      <c r="P16" s="468"/>
      <c r="Q16" s="499" t="str">
        <f t="shared" si="1"/>
        <v/>
      </c>
      <c r="R16" s="500" t="str">
        <f t="shared" si="2"/>
        <v/>
      </c>
    </row>
    <row r="17" spans="2:18" ht="15" hidden="1" customHeight="1">
      <c r="B17" s="84">
        <v>7</v>
      </c>
      <c r="C17" s="498"/>
      <c r="D17" s="718">
        <f t="shared" si="0"/>
        <v>1</v>
      </c>
      <c r="E17" s="684">
        <v>44928</v>
      </c>
      <c r="F17" s="85"/>
      <c r="G17" s="85"/>
      <c r="H17" s="85"/>
      <c r="I17" s="86"/>
      <c r="J17" s="85" t="s">
        <v>81</v>
      </c>
      <c r="K17" s="502" t="s">
        <v>166</v>
      </c>
      <c r="L17" s="85" t="s">
        <v>185</v>
      </c>
      <c r="M17" s="467"/>
      <c r="N17" s="467"/>
      <c r="O17" s="468">
        <v>1060</v>
      </c>
      <c r="P17" s="468"/>
      <c r="Q17" s="499" t="str">
        <f t="shared" si="1"/>
        <v/>
      </c>
      <c r="R17" s="500" t="str">
        <f t="shared" si="2"/>
        <v/>
      </c>
    </row>
    <row r="18" spans="2:18" ht="15" hidden="1" customHeight="1">
      <c r="B18" s="84">
        <v>8</v>
      </c>
      <c r="C18" s="498"/>
      <c r="D18" s="718">
        <f t="shared" si="0"/>
        <v>1</v>
      </c>
      <c r="E18" s="684">
        <v>44928</v>
      </c>
      <c r="F18" s="85"/>
      <c r="G18" s="85"/>
      <c r="H18" s="85"/>
      <c r="I18" s="86"/>
      <c r="J18" s="85" t="s">
        <v>81</v>
      </c>
      <c r="K18" s="502" t="s">
        <v>161</v>
      </c>
      <c r="L18" s="85" t="s">
        <v>185</v>
      </c>
      <c r="M18" s="467"/>
      <c r="N18" s="467"/>
      <c r="O18" s="468">
        <v>600</v>
      </c>
      <c r="P18" s="468"/>
      <c r="Q18" s="499" t="str">
        <f t="shared" si="1"/>
        <v/>
      </c>
      <c r="R18" s="500" t="str">
        <f t="shared" si="2"/>
        <v/>
      </c>
    </row>
    <row r="19" spans="2:18" ht="15" hidden="1" customHeight="1">
      <c r="B19" s="84">
        <v>9</v>
      </c>
      <c r="C19" s="498"/>
      <c r="D19" s="718">
        <f t="shared" si="0"/>
        <v>1</v>
      </c>
      <c r="E19" s="684">
        <v>44928</v>
      </c>
      <c r="F19" s="85"/>
      <c r="G19" s="85"/>
      <c r="H19" s="85"/>
      <c r="I19" s="86"/>
      <c r="J19" s="85" t="s">
        <v>81</v>
      </c>
      <c r="K19" s="502" t="s">
        <v>164</v>
      </c>
      <c r="L19" s="85" t="s">
        <v>165</v>
      </c>
      <c r="M19" s="467"/>
      <c r="N19" s="467"/>
      <c r="O19" s="468">
        <v>7273.7</v>
      </c>
      <c r="P19" s="468"/>
      <c r="Q19" s="499" t="str">
        <f t="shared" si="1"/>
        <v/>
      </c>
      <c r="R19" s="500" t="str">
        <f t="shared" si="2"/>
        <v/>
      </c>
    </row>
    <row r="20" spans="2:18" ht="15" hidden="1" customHeight="1">
      <c r="B20" s="84">
        <v>10</v>
      </c>
      <c r="C20" s="498"/>
      <c r="D20" s="718">
        <f t="shared" si="0"/>
        <v>1</v>
      </c>
      <c r="E20" s="684">
        <v>44928</v>
      </c>
      <c r="F20" s="85"/>
      <c r="G20" s="85"/>
      <c r="H20" s="85"/>
      <c r="I20" s="86"/>
      <c r="J20" s="85" t="s">
        <v>81</v>
      </c>
      <c r="K20" s="502" t="s">
        <v>85</v>
      </c>
      <c r="L20" s="85" t="s">
        <v>91</v>
      </c>
      <c r="M20" s="467">
        <v>1.25</v>
      </c>
      <c r="N20" s="467"/>
      <c r="O20" s="468">
        <v>188000</v>
      </c>
      <c r="P20" s="468"/>
      <c r="Q20" s="499">
        <f t="shared" si="1"/>
        <v>235000</v>
      </c>
      <c r="R20" s="500" t="str">
        <f t="shared" si="2"/>
        <v/>
      </c>
    </row>
    <row r="21" spans="2:18" ht="15" hidden="1" customHeight="1">
      <c r="B21" s="84">
        <v>11</v>
      </c>
      <c r="C21" s="506" t="s">
        <v>424</v>
      </c>
      <c r="D21" s="718">
        <f t="shared" si="0"/>
        <v>1</v>
      </c>
      <c r="E21" s="684">
        <v>44930</v>
      </c>
      <c r="F21" s="85" t="s">
        <v>111</v>
      </c>
      <c r="G21" s="85" t="s">
        <v>101</v>
      </c>
      <c r="H21" s="85" t="s">
        <v>101</v>
      </c>
      <c r="I21" s="86"/>
      <c r="J21" s="85" t="s">
        <v>74</v>
      </c>
      <c r="K21" s="85" t="s">
        <v>87</v>
      </c>
      <c r="L21" s="85" t="s">
        <v>91</v>
      </c>
      <c r="M21" s="467"/>
      <c r="N21" s="467">
        <v>1.2</v>
      </c>
      <c r="O21" s="468"/>
      <c r="P21" s="468">
        <v>800</v>
      </c>
      <c r="Q21" s="499" t="str">
        <f t="shared" si="1"/>
        <v/>
      </c>
      <c r="R21" s="500">
        <f t="shared" si="2"/>
        <v>960</v>
      </c>
    </row>
    <row r="22" spans="2:18" ht="15" hidden="1" customHeight="1">
      <c r="B22" s="84">
        <v>12</v>
      </c>
      <c r="C22" s="506">
        <v>10560</v>
      </c>
      <c r="D22" s="718">
        <f t="shared" si="0"/>
        <v>1</v>
      </c>
      <c r="E22" s="684">
        <v>44932</v>
      </c>
      <c r="F22" s="85"/>
      <c r="G22" s="85"/>
      <c r="H22" s="85"/>
      <c r="I22" s="86"/>
      <c r="J22" s="85" t="s">
        <v>74</v>
      </c>
      <c r="K22" s="85" t="s">
        <v>85</v>
      </c>
      <c r="L22" s="85" t="s">
        <v>91</v>
      </c>
      <c r="M22" s="467"/>
      <c r="N22" s="467">
        <v>2</v>
      </c>
      <c r="O22" s="468"/>
      <c r="P22" s="468">
        <v>13350</v>
      </c>
      <c r="Q22" s="499" t="str">
        <f t="shared" si="1"/>
        <v/>
      </c>
      <c r="R22" s="500">
        <f t="shared" si="2"/>
        <v>26700</v>
      </c>
    </row>
    <row r="23" spans="2:18" ht="15" hidden="1" customHeight="1">
      <c r="B23" s="84">
        <v>13</v>
      </c>
      <c r="C23" s="498">
        <v>600</v>
      </c>
      <c r="D23" s="718">
        <f t="shared" si="0"/>
        <v>1</v>
      </c>
      <c r="E23" s="684">
        <v>44932</v>
      </c>
      <c r="F23" s="85" t="s">
        <v>112</v>
      </c>
      <c r="G23" s="85" t="s">
        <v>114</v>
      </c>
      <c r="H23" s="85" t="s">
        <v>114</v>
      </c>
      <c r="I23" s="167" t="s">
        <v>167</v>
      </c>
      <c r="J23" s="85" t="s">
        <v>74</v>
      </c>
      <c r="K23" s="85" t="s">
        <v>652</v>
      </c>
      <c r="L23" s="85" t="s">
        <v>185</v>
      </c>
      <c r="M23" s="467"/>
      <c r="N23" s="467">
        <v>299</v>
      </c>
      <c r="O23" s="468"/>
      <c r="P23" s="468">
        <v>200</v>
      </c>
      <c r="Q23" s="499" t="str">
        <f t="shared" si="1"/>
        <v/>
      </c>
      <c r="R23" s="500">
        <f t="shared" si="2"/>
        <v>59800</v>
      </c>
    </row>
    <row r="24" spans="2:18" ht="15" hidden="1" customHeight="1">
      <c r="B24" s="84">
        <v>14</v>
      </c>
      <c r="C24" s="498">
        <v>600</v>
      </c>
      <c r="D24" s="718">
        <f t="shared" si="0"/>
        <v>1</v>
      </c>
      <c r="E24" s="684">
        <v>44932</v>
      </c>
      <c r="F24" s="85" t="s">
        <v>112</v>
      </c>
      <c r="G24" s="85" t="s">
        <v>114</v>
      </c>
      <c r="H24" s="85" t="s">
        <v>114</v>
      </c>
      <c r="I24" s="167" t="s">
        <v>168</v>
      </c>
      <c r="J24" s="85" t="s">
        <v>74</v>
      </c>
      <c r="K24" s="85" t="s">
        <v>161</v>
      </c>
      <c r="L24" s="85" t="s">
        <v>185</v>
      </c>
      <c r="M24" s="467"/>
      <c r="N24" s="467">
        <v>240</v>
      </c>
      <c r="O24" s="468"/>
      <c r="P24" s="468">
        <v>200</v>
      </c>
      <c r="Q24" s="499" t="str">
        <f t="shared" si="1"/>
        <v/>
      </c>
      <c r="R24" s="500">
        <f t="shared" si="2"/>
        <v>48000</v>
      </c>
    </row>
    <row r="25" spans="2:18" ht="15" hidden="1" customHeight="1">
      <c r="B25" s="84">
        <v>15</v>
      </c>
      <c r="C25" s="498"/>
      <c r="D25" s="718">
        <f t="shared" si="0"/>
        <v>1</v>
      </c>
      <c r="E25" s="684">
        <v>44932</v>
      </c>
      <c r="F25" s="85"/>
      <c r="G25" s="85"/>
      <c r="H25" s="85"/>
      <c r="I25" s="86"/>
      <c r="J25" s="85" t="s">
        <v>81</v>
      </c>
      <c r="K25" s="85" t="s">
        <v>162</v>
      </c>
      <c r="L25" s="85" t="s">
        <v>163</v>
      </c>
      <c r="M25" s="467">
        <v>17000</v>
      </c>
      <c r="N25" s="467"/>
      <c r="O25" s="468">
        <f>(305+304+315+295)/1000</f>
        <v>1.2190000000000001</v>
      </c>
      <c r="P25" s="468"/>
      <c r="Q25" s="499">
        <f t="shared" si="1"/>
        <v>20723</v>
      </c>
      <c r="R25" s="500" t="str">
        <f t="shared" si="2"/>
        <v/>
      </c>
    </row>
    <row r="26" spans="2:18" ht="15" hidden="1" customHeight="1">
      <c r="B26" s="84">
        <v>16</v>
      </c>
      <c r="C26" s="498"/>
      <c r="D26" s="718">
        <f t="shared" si="0"/>
        <v>1</v>
      </c>
      <c r="E26" s="684">
        <v>44932</v>
      </c>
      <c r="F26" s="85" t="s">
        <v>277</v>
      </c>
      <c r="G26" s="85" t="s">
        <v>361</v>
      </c>
      <c r="H26" s="85" t="s">
        <v>283</v>
      </c>
      <c r="I26" s="86"/>
      <c r="J26" s="85" t="s">
        <v>74</v>
      </c>
      <c r="K26" s="85" t="s">
        <v>162</v>
      </c>
      <c r="L26" s="85" t="s">
        <v>163</v>
      </c>
      <c r="M26" s="467"/>
      <c r="N26" s="467"/>
      <c r="O26" s="468"/>
      <c r="P26" s="468">
        <v>0.11</v>
      </c>
      <c r="Q26" s="499" t="str">
        <f t="shared" si="1"/>
        <v/>
      </c>
      <c r="R26" s="500" t="str">
        <f t="shared" si="2"/>
        <v/>
      </c>
    </row>
    <row r="27" spans="2:18" ht="15" hidden="1" customHeight="1">
      <c r="B27" s="84">
        <v>17</v>
      </c>
      <c r="C27" s="498"/>
      <c r="D27" s="718">
        <f t="shared" si="0"/>
        <v>1</v>
      </c>
      <c r="E27" s="684">
        <v>44932</v>
      </c>
      <c r="F27" s="85"/>
      <c r="G27" s="85"/>
      <c r="H27" s="85"/>
      <c r="I27" s="86"/>
      <c r="J27" s="85" t="s">
        <v>74</v>
      </c>
      <c r="K27" s="85" t="s">
        <v>162</v>
      </c>
      <c r="L27" s="85" t="s">
        <v>163</v>
      </c>
      <c r="M27" s="467"/>
      <c r="N27" s="467">
        <v>12400</v>
      </c>
      <c r="O27" s="468"/>
      <c r="P27" s="468">
        <f>(95+120+15+175+225)/1000</f>
        <v>0.63</v>
      </c>
      <c r="Q27" s="499" t="str">
        <f t="shared" si="1"/>
        <v/>
      </c>
      <c r="R27" s="500">
        <f t="shared" si="2"/>
        <v>7812</v>
      </c>
    </row>
    <row r="28" spans="2:18" ht="15" hidden="1" customHeight="1">
      <c r="B28" s="84">
        <v>18</v>
      </c>
      <c r="C28" s="498"/>
      <c r="D28" s="718">
        <f t="shared" si="0"/>
        <v>1</v>
      </c>
      <c r="E28" s="684">
        <v>44932</v>
      </c>
      <c r="F28" s="85"/>
      <c r="G28" s="85"/>
      <c r="H28" s="85"/>
      <c r="I28" s="86"/>
      <c r="J28" s="85" t="s">
        <v>74</v>
      </c>
      <c r="K28" s="85" t="s">
        <v>164</v>
      </c>
      <c r="L28" s="85" t="s">
        <v>165</v>
      </c>
      <c r="M28" s="467"/>
      <c r="N28" s="467">
        <v>82.5</v>
      </c>
      <c r="O28" s="468"/>
      <c r="P28" s="468">
        <f>(40+40)</f>
        <v>80</v>
      </c>
      <c r="Q28" s="499" t="str">
        <f t="shared" si="1"/>
        <v/>
      </c>
      <c r="R28" s="500">
        <f t="shared" si="2"/>
        <v>6600</v>
      </c>
    </row>
    <row r="29" spans="2:18" ht="15" hidden="1" customHeight="1">
      <c r="B29" s="84">
        <v>19</v>
      </c>
      <c r="C29" s="498"/>
      <c r="D29" s="718">
        <f t="shared" si="0"/>
        <v>2</v>
      </c>
      <c r="E29" s="684">
        <v>44935</v>
      </c>
      <c r="F29" s="85"/>
      <c r="G29" s="85"/>
      <c r="H29" s="85"/>
      <c r="I29" s="86"/>
      <c r="J29" s="85" t="s">
        <v>81</v>
      </c>
      <c r="K29" s="85" t="s">
        <v>56</v>
      </c>
      <c r="L29" s="85" t="s">
        <v>91</v>
      </c>
      <c r="M29" s="467">
        <v>27.769467619047621</v>
      </c>
      <c r="N29" s="467"/>
      <c r="O29" s="468">
        <v>1000</v>
      </c>
      <c r="P29" s="468"/>
      <c r="Q29" s="499">
        <f t="shared" si="1"/>
        <v>27769.46761904762</v>
      </c>
      <c r="R29" s="500" t="str">
        <f t="shared" si="2"/>
        <v/>
      </c>
    </row>
    <row r="30" spans="2:18" ht="15" hidden="1" customHeight="1">
      <c r="B30" s="84">
        <v>20</v>
      </c>
      <c r="C30" s="498">
        <v>601</v>
      </c>
      <c r="D30" s="718">
        <f t="shared" si="0"/>
        <v>2</v>
      </c>
      <c r="E30" s="684">
        <v>44939</v>
      </c>
      <c r="F30" s="85" t="s">
        <v>112</v>
      </c>
      <c r="G30" s="85" t="s">
        <v>114</v>
      </c>
      <c r="H30" s="85" t="s">
        <v>114</v>
      </c>
      <c r="I30" s="86" t="s">
        <v>62</v>
      </c>
      <c r="J30" s="85" t="s">
        <v>74</v>
      </c>
      <c r="K30" s="85" t="s">
        <v>56</v>
      </c>
      <c r="L30" s="85" t="s">
        <v>91</v>
      </c>
      <c r="M30" s="467"/>
      <c r="N30" s="467">
        <v>40</v>
      </c>
      <c r="O30" s="468"/>
      <c r="P30" s="501">
        <v>1000</v>
      </c>
      <c r="Q30" s="499" t="str">
        <f t="shared" si="1"/>
        <v/>
      </c>
      <c r="R30" s="500">
        <f t="shared" si="2"/>
        <v>40000</v>
      </c>
    </row>
    <row r="31" spans="2:18" ht="15" hidden="1" customHeight="1">
      <c r="B31" s="84">
        <v>21</v>
      </c>
      <c r="C31" s="498"/>
      <c r="D31" s="718">
        <f t="shared" si="0"/>
        <v>2</v>
      </c>
      <c r="E31" s="684">
        <v>44939</v>
      </c>
      <c r="F31" s="85"/>
      <c r="G31" s="85"/>
      <c r="H31" s="85"/>
      <c r="I31" s="86"/>
      <c r="J31" s="85" t="s">
        <v>81</v>
      </c>
      <c r="K31" s="85" t="s">
        <v>162</v>
      </c>
      <c r="L31" s="85" t="s">
        <v>163</v>
      </c>
      <c r="M31" s="467">
        <v>17000</v>
      </c>
      <c r="N31" s="467"/>
      <c r="O31" s="468">
        <f>(400+403+450+275)/1000</f>
        <v>1.528</v>
      </c>
      <c r="P31" s="468"/>
      <c r="Q31" s="499">
        <f t="shared" si="1"/>
        <v>25976</v>
      </c>
      <c r="R31" s="500" t="str">
        <f t="shared" si="2"/>
        <v/>
      </c>
    </row>
    <row r="32" spans="2:18" ht="15" hidden="1" customHeight="1">
      <c r="B32" s="84">
        <v>22</v>
      </c>
      <c r="C32" s="498"/>
      <c r="D32" s="718">
        <f t="shared" si="0"/>
        <v>2</v>
      </c>
      <c r="E32" s="684">
        <v>44939</v>
      </c>
      <c r="F32" s="85"/>
      <c r="G32" s="85"/>
      <c r="H32" s="85"/>
      <c r="I32" s="86"/>
      <c r="J32" s="85" t="s">
        <v>74</v>
      </c>
      <c r="K32" s="85" t="s">
        <v>162</v>
      </c>
      <c r="L32" s="85" t="s">
        <v>163</v>
      </c>
      <c r="M32" s="467"/>
      <c r="N32" s="467">
        <v>12400</v>
      </c>
      <c r="O32" s="468"/>
      <c r="P32" s="468">
        <f>(100+175+175+225+120+35+80+125)/1000</f>
        <v>1.0349999999999999</v>
      </c>
      <c r="Q32" s="499" t="str">
        <f t="shared" si="1"/>
        <v/>
      </c>
      <c r="R32" s="500">
        <f t="shared" si="2"/>
        <v>12833.999999999998</v>
      </c>
    </row>
    <row r="33" spans="2:18" ht="15" hidden="1" customHeight="1">
      <c r="B33" s="84">
        <v>23</v>
      </c>
      <c r="C33" s="498"/>
      <c r="D33" s="718">
        <f t="shared" si="0"/>
        <v>2</v>
      </c>
      <c r="E33" s="684">
        <v>44939</v>
      </c>
      <c r="F33" s="85"/>
      <c r="G33" s="85"/>
      <c r="H33" s="85"/>
      <c r="I33" s="86"/>
      <c r="J33" s="85" t="s">
        <v>74</v>
      </c>
      <c r="K33" s="85" t="s">
        <v>164</v>
      </c>
      <c r="L33" s="85" t="s">
        <v>165</v>
      </c>
      <c r="M33" s="467"/>
      <c r="N33" s="467">
        <v>82.5</v>
      </c>
      <c r="O33" s="468"/>
      <c r="P33" s="468">
        <f>(20+46)</f>
        <v>66</v>
      </c>
      <c r="Q33" s="499" t="str">
        <f t="shared" si="1"/>
        <v/>
      </c>
      <c r="R33" s="500">
        <f t="shared" si="2"/>
        <v>5445</v>
      </c>
    </row>
    <row r="34" spans="2:18" ht="15" hidden="1" customHeight="1">
      <c r="B34" s="84">
        <v>24</v>
      </c>
      <c r="C34" s="506" t="s">
        <v>423</v>
      </c>
      <c r="D34" s="718">
        <f t="shared" si="0"/>
        <v>2</v>
      </c>
      <c r="E34" s="684">
        <v>44940</v>
      </c>
      <c r="F34" s="85"/>
      <c r="G34" s="85"/>
      <c r="H34" s="85"/>
      <c r="I34" s="86"/>
      <c r="J34" s="85" t="s">
        <v>74</v>
      </c>
      <c r="K34" s="85" t="s">
        <v>85</v>
      </c>
      <c r="L34" s="85" t="s">
        <v>91</v>
      </c>
      <c r="M34" s="467"/>
      <c r="N34" s="467">
        <v>2</v>
      </c>
      <c r="O34" s="468"/>
      <c r="P34" s="468">
        <f>10530+11760+10370+11630+11130+10660</f>
        <v>66080</v>
      </c>
      <c r="Q34" s="499" t="str">
        <f t="shared" si="1"/>
        <v/>
      </c>
      <c r="R34" s="500">
        <f t="shared" si="2"/>
        <v>132160</v>
      </c>
    </row>
    <row r="35" spans="2:18" ht="15" hidden="1" customHeight="1">
      <c r="B35" s="84">
        <v>25</v>
      </c>
      <c r="C35" s="498"/>
      <c r="D35" s="718">
        <f t="shared" si="0"/>
        <v>2</v>
      </c>
      <c r="E35" s="684">
        <v>44940</v>
      </c>
      <c r="F35" s="85"/>
      <c r="G35" s="85"/>
      <c r="H35" s="85"/>
      <c r="I35" s="86"/>
      <c r="J35" s="85" t="s">
        <v>81</v>
      </c>
      <c r="K35" s="502" t="s">
        <v>86</v>
      </c>
      <c r="L35" s="85" t="s">
        <v>91</v>
      </c>
      <c r="M35" s="467">
        <v>2.2000000000000002</v>
      </c>
      <c r="N35" s="467"/>
      <c r="O35" s="468">
        <v>21000</v>
      </c>
      <c r="P35" s="468"/>
      <c r="Q35" s="499">
        <f t="shared" si="1"/>
        <v>46200.000000000007</v>
      </c>
      <c r="R35" s="500" t="str">
        <f t="shared" si="2"/>
        <v/>
      </c>
    </row>
    <row r="36" spans="2:18" ht="15" hidden="1" customHeight="1">
      <c r="B36" s="84">
        <v>26</v>
      </c>
      <c r="C36" s="498"/>
      <c r="D36" s="718">
        <f t="shared" si="0"/>
        <v>3</v>
      </c>
      <c r="E36" s="684">
        <v>44942</v>
      </c>
      <c r="F36" s="85"/>
      <c r="G36" s="85"/>
      <c r="H36" s="85"/>
      <c r="I36" s="86"/>
      <c r="J36" s="85" t="s">
        <v>74</v>
      </c>
      <c r="K36" s="85" t="s">
        <v>164</v>
      </c>
      <c r="L36" s="85" t="s">
        <v>165</v>
      </c>
      <c r="M36" s="467"/>
      <c r="N36" s="467">
        <v>82.5</v>
      </c>
      <c r="O36" s="468"/>
      <c r="P36" s="468">
        <f>36</f>
        <v>36</v>
      </c>
      <c r="Q36" s="499" t="str">
        <f t="shared" si="1"/>
        <v/>
      </c>
      <c r="R36" s="500">
        <f t="shared" si="2"/>
        <v>2970</v>
      </c>
    </row>
    <row r="37" spans="2:18" ht="15" hidden="1" customHeight="1">
      <c r="B37" s="84">
        <v>27</v>
      </c>
      <c r="C37" s="498"/>
      <c r="D37" s="718">
        <f t="shared" si="0"/>
        <v>3</v>
      </c>
      <c r="E37" s="684">
        <v>44942</v>
      </c>
      <c r="F37" s="85"/>
      <c r="G37" s="85"/>
      <c r="H37" s="85"/>
      <c r="I37" s="86"/>
      <c r="J37" s="85" t="s">
        <v>74</v>
      </c>
      <c r="K37" s="85" t="s">
        <v>164</v>
      </c>
      <c r="L37" s="85" t="s">
        <v>165</v>
      </c>
      <c r="M37" s="467"/>
      <c r="N37" s="467"/>
      <c r="O37" s="468"/>
      <c r="P37" s="503">
        <v>3</v>
      </c>
      <c r="Q37" s="499" t="str">
        <f t="shared" si="1"/>
        <v/>
      </c>
      <c r="R37" s="500" t="str">
        <f t="shared" si="2"/>
        <v/>
      </c>
    </row>
    <row r="38" spans="2:18" ht="15" hidden="1" customHeight="1">
      <c r="B38" s="84">
        <v>28</v>
      </c>
      <c r="C38" s="498">
        <v>602</v>
      </c>
      <c r="D38" s="718">
        <f t="shared" si="0"/>
        <v>3</v>
      </c>
      <c r="E38" s="684">
        <v>44942</v>
      </c>
      <c r="F38" s="85" t="s">
        <v>112</v>
      </c>
      <c r="G38" s="85" t="s">
        <v>114</v>
      </c>
      <c r="H38" s="85" t="s">
        <v>114</v>
      </c>
      <c r="I38" s="167" t="s">
        <v>169</v>
      </c>
      <c r="J38" s="85" t="s">
        <v>74</v>
      </c>
      <c r="K38" s="85" t="s">
        <v>161</v>
      </c>
      <c r="L38" s="85" t="s">
        <v>185</v>
      </c>
      <c r="M38" s="467"/>
      <c r="N38" s="467">
        <v>240</v>
      </c>
      <c r="O38" s="468"/>
      <c r="P38" s="468">
        <v>400</v>
      </c>
      <c r="Q38" s="499" t="str">
        <f t="shared" si="1"/>
        <v/>
      </c>
      <c r="R38" s="500">
        <f t="shared" si="2"/>
        <v>96000</v>
      </c>
    </row>
    <row r="39" spans="2:18" ht="15" hidden="1" customHeight="1">
      <c r="B39" s="84">
        <v>29</v>
      </c>
      <c r="C39" s="498">
        <v>603</v>
      </c>
      <c r="D39" s="718">
        <f t="shared" si="0"/>
        <v>3</v>
      </c>
      <c r="E39" s="684">
        <v>44945</v>
      </c>
      <c r="F39" s="85" t="s">
        <v>112</v>
      </c>
      <c r="G39" s="85" t="s">
        <v>114</v>
      </c>
      <c r="H39" s="85" t="s">
        <v>114</v>
      </c>
      <c r="I39" s="167" t="s">
        <v>170</v>
      </c>
      <c r="J39" s="85" t="s">
        <v>74</v>
      </c>
      <c r="K39" s="85" t="s">
        <v>652</v>
      </c>
      <c r="L39" s="85" t="s">
        <v>185</v>
      </c>
      <c r="M39" s="467"/>
      <c r="N39" s="467">
        <v>299</v>
      </c>
      <c r="O39" s="468"/>
      <c r="P39" s="468">
        <v>200</v>
      </c>
      <c r="Q39" s="499" t="str">
        <f t="shared" si="1"/>
        <v/>
      </c>
      <c r="R39" s="500">
        <f t="shared" si="2"/>
        <v>59800</v>
      </c>
    </row>
    <row r="40" spans="2:18" hidden="1">
      <c r="B40" s="84">
        <v>30</v>
      </c>
      <c r="C40" s="498"/>
      <c r="D40" s="718">
        <f t="shared" si="0"/>
        <v>3</v>
      </c>
      <c r="E40" s="684">
        <v>44947</v>
      </c>
      <c r="F40" s="85"/>
      <c r="G40" s="85"/>
      <c r="H40" s="85"/>
      <c r="I40" s="86"/>
      <c r="J40" s="85" t="s">
        <v>81</v>
      </c>
      <c r="K40" s="85" t="s">
        <v>162</v>
      </c>
      <c r="L40" s="85" t="s">
        <v>163</v>
      </c>
      <c r="M40" s="467">
        <v>17000</v>
      </c>
      <c r="N40" s="467"/>
      <c r="O40" s="468">
        <f>(432+413+341+135)/1000</f>
        <v>1.321</v>
      </c>
      <c r="P40" s="468"/>
      <c r="Q40" s="499">
        <f t="shared" si="1"/>
        <v>22457</v>
      </c>
      <c r="R40" s="500" t="str">
        <f t="shared" si="2"/>
        <v/>
      </c>
    </row>
    <row r="41" spans="2:18" hidden="1">
      <c r="B41" s="84">
        <v>31</v>
      </c>
      <c r="C41" s="498"/>
      <c r="D41" s="718">
        <f t="shared" si="0"/>
        <v>3</v>
      </c>
      <c r="E41" s="684">
        <v>44947</v>
      </c>
      <c r="F41" s="85" t="s">
        <v>277</v>
      </c>
      <c r="G41" s="85" t="s">
        <v>361</v>
      </c>
      <c r="H41" s="85" t="s">
        <v>283</v>
      </c>
      <c r="I41" s="86"/>
      <c r="J41" s="85" t="s">
        <v>74</v>
      </c>
      <c r="K41" s="85" t="s">
        <v>162</v>
      </c>
      <c r="L41" s="85" t="s">
        <v>163</v>
      </c>
      <c r="M41" s="467"/>
      <c r="N41" s="467"/>
      <c r="O41" s="468"/>
      <c r="P41" s="468">
        <v>0.11</v>
      </c>
      <c r="Q41" s="499" t="str">
        <f t="shared" si="1"/>
        <v/>
      </c>
      <c r="R41" s="500" t="str">
        <f t="shared" si="2"/>
        <v/>
      </c>
    </row>
    <row r="42" spans="2:18" hidden="1">
      <c r="B42" s="84">
        <v>32</v>
      </c>
      <c r="C42" s="498"/>
      <c r="D42" s="718">
        <f t="shared" si="0"/>
        <v>3</v>
      </c>
      <c r="E42" s="684">
        <v>44947</v>
      </c>
      <c r="F42" s="85"/>
      <c r="G42" s="85"/>
      <c r="H42" s="85"/>
      <c r="I42" s="86"/>
      <c r="J42" s="85" t="s">
        <v>74</v>
      </c>
      <c r="K42" s="85" t="s">
        <v>162</v>
      </c>
      <c r="L42" s="85" t="s">
        <v>163</v>
      </c>
      <c r="M42" s="467"/>
      <c r="N42" s="467">
        <v>12400</v>
      </c>
      <c r="O42" s="468"/>
      <c r="P42" s="468">
        <f>(200+175+150+500+160+95)/1000</f>
        <v>1.28</v>
      </c>
      <c r="Q42" s="499" t="str">
        <f t="shared" si="1"/>
        <v/>
      </c>
      <c r="R42" s="500">
        <f t="shared" si="2"/>
        <v>15872</v>
      </c>
    </row>
    <row r="43" spans="2:18" hidden="1">
      <c r="B43" s="84">
        <v>33</v>
      </c>
      <c r="C43" s="498">
        <v>604</v>
      </c>
      <c r="D43" s="718">
        <f t="shared" si="0"/>
        <v>4</v>
      </c>
      <c r="E43" s="684">
        <v>44950</v>
      </c>
      <c r="F43" s="85" t="s">
        <v>112</v>
      </c>
      <c r="G43" s="85" t="s">
        <v>114</v>
      </c>
      <c r="H43" s="85" t="s">
        <v>114</v>
      </c>
      <c r="I43" s="86" t="s">
        <v>63</v>
      </c>
      <c r="J43" s="85" t="s">
        <v>74</v>
      </c>
      <c r="K43" s="85" t="s">
        <v>56</v>
      </c>
      <c r="L43" s="85" t="s">
        <v>91</v>
      </c>
      <c r="M43" s="467"/>
      <c r="N43" s="467">
        <v>40</v>
      </c>
      <c r="O43" s="468"/>
      <c r="P43" s="501">
        <v>1200</v>
      </c>
      <c r="Q43" s="499" t="str">
        <f t="shared" si="1"/>
        <v/>
      </c>
      <c r="R43" s="500">
        <f t="shared" si="2"/>
        <v>48000</v>
      </c>
    </row>
    <row r="44" spans="2:18" hidden="1">
      <c r="B44" s="84">
        <v>34</v>
      </c>
      <c r="C44" s="498">
        <v>605</v>
      </c>
      <c r="D44" s="718">
        <f t="shared" si="0"/>
        <v>4</v>
      </c>
      <c r="E44" s="684">
        <v>44953</v>
      </c>
      <c r="F44" s="85" t="s">
        <v>112</v>
      </c>
      <c r="G44" s="85" t="s">
        <v>114</v>
      </c>
      <c r="H44" s="85" t="s">
        <v>114</v>
      </c>
      <c r="I44" s="167" t="s">
        <v>171</v>
      </c>
      <c r="J44" s="85" t="s">
        <v>74</v>
      </c>
      <c r="K44" s="85" t="s">
        <v>652</v>
      </c>
      <c r="L44" s="85" t="s">
        <v>185</v>
      </c>
      <c r="M44" s="467"/>
      <c r="N44" s="467">
        <v>299</v>
      </c>
      <c r="O44" s="468"/>
      <c r="P44" s="468">
        <v>600</v>
      </c>
      <c r="Q44" s="499" t="str">
        <f t="shared" si="1"/>
        <v/>
      </c>
      <c r="R44" s="500">
        <f t="shared" si="2"/>
        <v>179400</v>
      </c>
    </row>
    <row r="45" spans="2:18" hidden="1">
      <c r="B45" s="84">
        <v>35</v>
      </c>
      <c r="C45" s="498"/>
      <c r="D45" s="718">
        <f t="shared" si="0"/>
        <v>4</v>
      </c>
      <c r="E45" s="684">
        <v>44953</v>
      </c>
      <c r="F45" s="85"/>
      <c r="G45" s="85"/>
      <c r="H45" s="85"/>
      <c r="I45" s="86"/>
      <c r="J45" s="85" t="s">
        <v>81</v>
      </c>
      <c r="K45" s="85" t="s">
        <v>164</v>
      </c>
      <c r="L45" s="85" t="s">
        <v>165</v>
      </c>
      <c r="M45" s="467">
        <v>287.6268905420971</v>
      </c>
      <c r="N45" s="467"/>
      <c r="O45" s="468">
        <f>26.78+46.42+23.21+49.21</f>
        <v>145.62</v>
      </c>
      <c r="P45" s="468"/>
      <c r="Q45" s="499">
        <f t="shared" si="1"/>
        <v>41884.227800740184</v>
      </c>
      <c r="R45" s="500" t="str">
        <f t="shared" si="2"/>
        <v/>
      </c>
    </row>
    <row r="46" spans="2:18" hidden="1">
      <c r="B46" s="84">
        <v>36</v>
      </c>
      <c r="C46" s="498"/>
      <c r="D46" s="718">
        <f t="shared" si="0"/>
        <v>4</v>
      </c>
      <c r="E46" s="684">
        <v>44953</v>
      </c>
      <c r="F46" s="85"/>
      <c r="G46" s="85"/>
      <c r="H46" s="85"/>
      <c r="I46" s="86"/>
      <c r="J46" s="85" t="s">
        <v>74</v>
      </c>
      <c r="K46" s="85" t="s">
        <v>164</v>
      </c>
      <c r="L46" s="85" t="s">
        <v>165</v>
      </c>
      <c r="M46" s="467"/>
      <c r="N46" s="467">
        <v>82.5</v>
      </c>
      <c r="O46" s="468"/>
      <c r="P46" s="468">
        <v>40</v>
      </c>
      <c r="Q46" s="499" t="str">
        <f t="shared" si="1"/>
        <v/>
      </c>
      <c r="R46" s="500">
        <f t="shared" si="2"/>
        <v>3300</v>
      </c>
    </row>
    <row r="47" spans="2:18" hidden="1">
      <c r="B47" s="84">
        <v>37</v>
      </c>
      <c r="C47" s="498"/>
      <c r="D47" s="718">
        <f t="shared" si="0"/>
        <v>4</v>
      </c>
      <c r="E47" s="684">
        <v>44953</v>
      </c>
      <c r="F47" s="85"/>
      <c r="G47" s="85"/>
      <c r="H47" s="85"/>
      <c r="I47" s="86"/>
      <c r="J47" s="85" t="s">
        <v>74</v>
      </c>
      <c r="K47" s="85" t="s">
        <v>164</v>
      </c>
      <c r="L47" s="85" t="s">
        <v>165</v>
      </c>
      <c r="M47" s="467"/>
      <c r="N47" s="467"/>
      <c r="O47" s="468"/>
      <c r="P47" s="503">
        <f>14</f>
        <v>14</v>
      </c>
      <c r="Q47" s="499" t="str">
        <f t="shared" si="1"/>
        <v/>
      </c>
      <c r="R47" s="500" t="str">
        <f t="shared" si="2"/>
        <v/>
      </c>
    </row>
    <row r="48" spans="2:18" hidden="1">
      <c r="B48" s="84">
        <v>38</v>
      </c>
      <c r="C48" s="498"/>
      <c r="D48" s="718">
        <f t="shared" si="0"/>
        <v>4</v>
      </c>
      <c r="E48" s="684">
        <v>44954</v>
      </c>
      <c r="F48" s="85"/>
      <c r="G48" s="85"/>
      <c r="H48" s="85"/>
      <c r="I48" s="86"/>
      <c r="J48" s="85" t="s">
        <v>81</v>
      </c>
      <c r="K48" s="85" t="s">
        <v>162</v>
      </c>
      <c r="L48" s="85" t="s">
        <v>163</v>
      </c>
      <c r="M48" s="467">
        <v>17000</v>
      </c>
      <c r="N48" s="467"/>
      <c r="O48" s="468">
        <f>(220+285+287+282)/1000</f>
        <v>1.0740000000000001</v>
      </c>
      <c r="P48" s="468"/>
      <c r="Q48" s="499">
        <f t="shared" si="1"/>
        <v>18258</v>
      </c>
      <c r="R48" s="500" t="str">
        <f t="shared" si="2"/>
        <v/>
      </c>
    </row>
    <row r="49" spans="2:18" hidden="1">
      <c r="B49" s="84">
        <v>39</v>
      </c>
      <c r="C49" s="498"/>
      <c r="D49" s="718">
        <f t="shared" si="0"/>
        <v>4</v>
      </c>
      <c r="E49" s="684">
        <v>44954</v>
      </c>
      <c r="F49" s="85"/>
      <c r="G49" s="85"/>
      <c r="H49" s="85"/>
      <c r="I49" s="86"/>
      <c r="J49" s="85" t="s">
        <v>74</v>
      </c>
      <c r="K49" s="85" t="s">
        <v>162</v>
      </c>
      <c r="L49" s="85" t="s">
        <v>163</v>
      </c>
      <c r="M49" s="467"/>
      <c r="N49" s="467">
        <v>12400</v>
      </c>
      <c r="O49" s="468"/>
      <c r="P49" s="468">
        <f>(200+70+150+175)/1000</f>
        <v>0.59499999999999997</v>
      </c>
      <c r="Q49" s="499" t="str">
        <f t="shared" si="1"/>
        <v/>
      </c>
      <c r="R49" s="500">
        <f t="shared" si="2"/>
        <v>7378</v>
      </c>
    </row>
    <row r="50" spans="2:18" hidden="1">
      <c r="B50" s="84">
        <v>40</v>
      </c>
      <c r="C50" s="498"/>
      <c r="D50" s="718">
        <f t="shared" si="0"/>
        <v>4</v>
      </c>
      <c r="E50" s="684">
        <v>44954</v>
      </c>
      <c r="F50" s="85" t="s">
        <v>113</v>
      </c>
      <c r="G50" s="85" t="s">
        <v>279</v>
      </c>
      <c r="H50" s="85" t="s">
        <v>279</v>
      </c>
      <c r="I50" s="86"/>
      <c r="J50" s="85" t="s">
        <v>74</v>
      </c>
      <c r="K50" s="85" t="s">
        <v>162</v>
      </c>
      <c r="L50" s="85" t="s">
        <v>163</v>
      </c>
      <c r="M50" s="467"/>
      <c r="N50" s="467">
        <v>25000</v>
      </c>
      <c r="O50" s="468"/>
      <c r="P50" s="504">
        <v>1.2</v>
      </c>
      <c r="Q50" s="499" t="str">
        <f t="shared" si="1"/>
        <v/>
      </c>
      <c r="R50" s="500">
        <f t="shared" si="2"/>
        <v>30000</v>
      </c>
    </row>
    <row r="51" spans="2:18" hidden="1">
      <c r="B51" s="84">
        <v>41</v>
      </c>
      <c r="C51" s="506"/>
      <c r="D51" s="718">
        <f t="shared" si="0"/>
        <v>4</v>
      </c>
      <c r="E51" s="684">
        <v>44954</v>
      </c>
      <c r="F51" s="85" t="s">
        <v>440</v>
      </c>
      <c r="G51" s="85" t="s">
        <v>441</v>
      </c>
      <c r="H51" s="85" t="s">
        <v>91</v>
      </c>
      <c r="I51" s="86"/>
      <c r="J51" s="85" t="s">
        <v>74</v>
      </c>
      <c r="K51" s="85" t="s">
        <v>87</v>
      </c>
      <c r="L51" s="85" t="s">
        <v>91</v>
      </c>
      <c r="M51" s="467"/>
      <c r="N51" s="467"/>
      <c r="O51" s="468"/>
      <c r="P51" s="505">
        <v>1125</v>
      </c>
      <c r="Q51" s="499" t="str">
        <f t="shared" si="1"/>
        <v/>
      </c>
      <c r="R51" s="500" t="str">
        <f t="shared" si="2"/>
        <v/>
      </c>
    </row>
    <row r="52" spans="2:18" hidden="1">
      <c r="B52" s="84">
        <v>42</v>
      </c>
      <c r="C52" s="498"/>
      <c r="D52" s="718">
        <f t="shared" si="0"/>
        <v>5</v>
      </c>
      <c r="E52" s="684">
        <v>44958</v>
      </c>
      <c r="F52" s="85"/>
      <c r="G52" s="85"/>
      <c r="H52" s="85"/>
      <c r="I52" s="86"/>
      <c r="J52" s="85" t="s">
        <v>81</v>
      </c>
      <c r="K52" s="85" t="s">
        <v>56</v>
      </c>
      <c r="L52" s="85" t="s">
        <v>91</v>
      </c>
      <c r="M52" s="467">
        <v>27.769467619047621</v>
      </c>
      <c r="N52" s="467"/>
      <c r="O52" s="468">
        <v>1000</v>
      </c>
      <c r="P52" s="468"/>
      <c r="Q52" s="499">
        <f t="shared" si="1"/>
        <v>27769.46761904762</v>
      </c>
      <c r="R52" s="500" t="str">
        <f t="shared" si="2"/>
        <v/>
      </c>
    </row>
    <row r="53" spans="2:18" hidden="1">
      <c r="B53" s="84">
        <v>43</v>
      </c>
      <c r="C53" s="498"/>
      <c r="D53" s="718">
        <f t="shared" si="0"/>
        <v>5</v>
      </c>
      <c r="E53" s="684">
        <v>44958</v>
      </c>
      <c r="F53" s="85"/>
      <c r="G53" s="85"/>
      <c r="H53" s="85"/>
      <c r="I53" s="86"/>
      <c r="J53" s="85" t="s">
        <v>81</v>
      </c>
      <c r="K53" s="85" t="s">
        <v>652</v>
      </c>
      <c r="L53" s="85" t="s">
        <v>185</v>
      </c>
      <c r="M53" s="467">
        <v>247.18544827008316</v>
      </c>
      <c r="N53" s="467"/>
      <c r="O53" s="468">
        <v>400</v>
      </c>
      <c r="P53" s="468"/>
      <c r="Q53" s="499">
        <f t="shared" si="1"/>
        <v>98874.179308033257</v>
      </c>
      <c r="R53" s="500" t="str">
        <f t="shared" si="2"/>
        <v/>
      </c>
    </row>
    <row r="54" spans="2:18" hidden="1">
      <c r="B54" s="84">
        <v>44</v>
      </c>
      <c r="C54" s="498">
        <v>606</v>
      </c>
      <c r="D54" s="718">
        <f t="shared" si="0"/>
        <v>5</v>
      </c>
      <c r="E54" s="684">
        <v>44959</v>
      </c>
      <c r="F54" s="85" t="s">
        <v>112</v>
      </c>
      <c r="G54" s="85" t="s">
        <v>114</v>
      </c>
      <c r="H54" s="85" t="s">
        <v>114</v>
      </c>
      <c r="I54" s="86" t="s">
        <v>64</v>
      </c>
      <c r="J54" s="85" t="s">
        <v>74</v>
      </c>
      <c r="K54" s="85" t="s">
        <v>56</v>
      </c>
      <c r="L54" s="85" t="s">
        <v>91</v>
      </c>
      <c r="M54" s="467"/>
      <c r="N54" s="467">
        <v>40</v>
      </c>
      <c r="O54" s="468"/>
      <c r="P54" s="501">
        <v>1200</v>
      </c>
      <c r="Q54" s="499" t="str">
        <f t="shared" si="1"/>
        <v/>
      </c>
      <c r="R54" s="500">
        <f t="shared" si="2"/>
        <v>48000</v>
      </c>
    </row>
    <row r="55" spans="2:18" hidden="1">
      <c r="B55" s="84">
        <v>45</v>
      </c>
      <c r="C55" s="506">
        <v>11952</v>
      </c>
      <c r="D55" s="718">
        <f t="shared" si="0"/>
        <v>5</v>
      </c>
      <c r="E55" s="684">
        <v>44960</v>
      </c>
      <c r="F55" s="85" t="s">
        <v>111</v>
      </c>
      <c r="G55" s="85" t="s">
        <v>101</v>
      </c>
      <c r="H55" s="85" t="s">
        <v>101</v>
      </c>
      <c r="I55" s="86"/>
      <c r="J55" s="85" t="s">
        <v>74</v>
      </c>
      <c r="K55" s="85" t="s">
        <v>87</v>
      </c>
      <c r="L55" s="85" t="s">
        <v>91</v>
      </c>
      <c r="M55" s="467"/>
      <c r="N55" s="467">
        <v>1.2</v>
      </c>
      <c r="O55" s="468"/>
      <c r="P55" s="468">
        <v>400</v>
      </c>
      <c r="Q55" s="499" t="str">
        <f t="shared" si="1"/>
        <v/>
      </c>
      <c r="R55" s="500">
        <f t="shared" si="2"/>
        <v>480</v>
      </c>
    </row>
    <row r="56" spans="2:18" hidden="1">
      <c r="B56" s="84">
        <v>46</v>
      </c>
      <c r="C56" s="498">
        <v>607</v>
      </c>
      <c r="D56" s="718">
        <f t="shared" si="0"/>
        <v>5</v>
      </c>
      <c r="E56" s="684">
        <v>44960</v>
      </c>
      <c r="F56" s="85" t="s">
        <v>112</v>
      </c>
      <c r="G56" s="85" t="s">
        <v>114</v>
      </c>
      <c r="H56" s="85" t="s">
        <v>114</v>
      </c>
      <c r="I56" s="167" t="s">
        <v>172</v>
      </c>
      <c r="J56" s="85" t="s">
        <v>74</v>
      </c>
      <c r="K56" s="85" t="s">
        <v>652</v>
      </c>
      <c r="L56" s="85" t="s">
        <v>185</v>
      </c>
      <c r="M56" s="467"/>
      <c r="N56" s="467">
        <v>299</v>
      </c>
      <c r="O56" s="468"/>
      <c r="P56" s="468">
        <v>400</v>
      </c>
      <c r="Q56" s="499" t="str">
        <f t="shared" si="1"/>
        <v/>
      </c>
      <c r="R56" s="500">
        <f t="shared" si="2"/>
        <v>119600</v>
      </c>
    </row>
    <row r="57" spans="2:18" hidden="1">
      <c r="B57" s="84">
        <v>47</v>
      </c>
      <c r="C57" s="498"/>
      <c r="D57" s="718">
        <f t="shared" si="0"/>
        <v>5</v>
      </c>
      <c r="E57" s="684">
        <v>44960</v>
      </c>
      <c r="F57" s="85"/>
      <c r="G57" s="85"/>
      <c r="H57" s="85"/>
      <c r="I57" s="86"/>
      <c r="J57" s="85" t="s">
        <v>81</v>
      </c>
      <c r="K57" s="85" t="s">
        <v>164</v>
      </c>
      <c r="L57" s="85" t="s">
        <v>165</v>
      </c>
      <c r="M57" s="467">
        <v>287.6268905420971</v>
      </c>
      <c r="N57" s="467"/>
      <c r="O57" s="468">
        <f>(47.14+50.28+27.5+31+42.85)</f>
        <v>198.77</v>
      </c>
      <c r="P57" s="468"/>
      <c r="Q57" s="499">
        <f t="shared" si="1"/>
        <v>57171.597033052647</v>
      </c>
      <c r="R57" s="500" t="str">
        <f t="shared" si="2"/>
        <v/>
      </c>
    </row>
    <row r="58" spans="2:18" hidden="1">
      <c r="B58" s="84">
        <v>48</v>
      </c>
      <c r="C58" s="498"/>
      <c r="D58" s="718">
        <f t="shared" si="0"/>
        <v>5</v>
      </c>
      <c r="E58" s="684">
        <v>44960</v>
      </c>
      <c r="F58" s="85"/>
      <c r="G58" s="85"/>
      <c r="H58" s="85"/>
      <c r="I58" s="86"/>
      <c r="J58" s="85" t="s">
        <v>74</v>
      </c>
      <c r="K58" s="85" t="s">
        <v>164</v>
      </c>
      <c r="L58" s="85" t="s">
        <v>165</v>
      </c>
      <c r="M58" s="467"/>
      <c r="N58" s="467">
        <v>82.5</v>
      </c>
      <c r="O58" s="468"/>
      <c r="P58" s="468">
        <f>40</f>
        <v>40</v>
      </c>
      <c r="Q58" s="499" t="str">
        <f t="shared" si="1"/>
        <v/>
      </c>
      <c r="R58" s="500">
        <f t="shared" si="2"/>
        <v>3300</v>
      </c>
    </row>
    <row r="59" spans="2:18" hidden="1">
      <c r="B59" s="84">
        <v>49</v>
      </c>
      <c r="C59" s="498"/>
      <c r="D59" s="718">
        <f t="shared" si="0"/>
        <v>5</v>
      </c>
      <c r="E59" s="684">
        <v>44961</v>
      </c>
      <c r="F59" s="85"/>
      <c r="G59" s="85"/>
      <c r="H59" s="85"/>
      <c r="I59" s="86"/>
      <c r="J59" s="85" t="s">
        <v>81</v>
      </c>
      <c r="K59" s="85" t="s">
        <v>162</v>
      </c>
      <c r="L59" s="85" t="s">
        <v>163</v>
      </c>
      <c r="M59" s="467">
        <v>17000</v>
      </c>
      <c r="N59" s="467"/>
      <c r="O59" s="468">
        <f>(530+385+365+275)/1000</f>
        <v>1.5549999999999999</v>
      </c>
      <c r="P59" s="468"/>
      <c r="Q59" s="499">
        <f t="shared" si="1"/>
        <v>26435</v>
      </c>
      <c r="R59" s="500" t="str">
        <f t="shared" si="2"/>
        <v/>
      </c>
    </row>
    <row r="60" spans="2:18" hidden="1">
      <c r="B60" s="84">
        <v>50</v>
      </c>
      <c r="C60" s="498"/>
      <c r="D60" s="718">
        <f t="shared" si="0"/>
        <v>5</v>
      </c>
      <c r="E60" s="684">
        <v>44961</v>
      </c>
      <c r="F60" s="85" t="s">
        <v>277</v>
      </c>
      <c r="G60" s="85" t="s">
        <v>361</v>
      </c>
      <c r="H60" s="85" t="s">
        <v>283</v>
      </c>
      <c r="I60" s="86"/>
      <c r="J60" s="85" t="s">
        <v>74</v>
      </c>
      <c r="K60" s="85" t="s">
        <v>162</v>
      </c>
      <c r="L60" s="85" t="s">
        <v>163</v>
      </c>
      <c r="M60" s="467"/>
      <c r="N60" s="467"/>
      <c r="O60" s="468"/>
      <c r="P60" s="468">
        <v>0.11</v>
      </c>
      <c r="Q60" s="499" t="str">
        <f t="shared" si="1"/>
        <v/>
      </c>
      <c r="R60" s="500" t="str">
        <f t="shared" si="2"/>
        <v/>
      </c>
    </row>
    <row r="61" spans="2:18" hidden="1">
      <c r="B61" s="84">
        <v>51</v>
      </c>
      <c r="C61" s="498"/>
      <c r="D61" s="718">
        <f t="shared" si="0"/>
        <v>5</v>
      </c>
      <c r="E61" s="684">
        <v>44961</v>
      </c>
      <c r="F61" s="85"/>
      <c r="G61" s="85"/>
      <c r="H61" s="85"/>
      <c r="I61" s="86"/>
      <c r="J61" s="85" t="s">
        <v>74</v>
      </c>
      <c r="K61" s="85" t="s">
        <v>162</v>
      </c>
      <c r="L61" s="85" t="s">
        <v>163</v>
      </c>
      <c r="M61" s="467"/>
      <c r="N61" s="467">
        <v>25000</v>
      </c>
      <c r="O61" s="468"/>
      <c r="P61" s="468">
        <f>(290+225)/1000</f>
        <v>0.51500000000000001</v>
      </c>
      <c r="Q61" s="499" t="str">
        <f t="shared" si="1"/>
        <v/>
      </c>
      <c r="R61" s="500">
        <f t="shared" si="2"/>
        <v>12875</v>
      </c>
    </row>
    <row r="62" spans="2:18" hidden="1">
      <c r="B62" s="84">
        <v>52</v>
      </c>
      <c r="C62" s="498"/>
      <c r="D62" s="718">
        <f t="shared" si="0"/>
        <v>5</v>
      </c>
      <c r="E62" s="684">
        <v>44961</v>
      </c>
      <c r="F62" s="85" t="s">
        <v>113</v>
      </c>
      <c r="G62" s="85" t="s">
        <v>279</v>
      </c>
      <c r="H62" s="85" t="s">
        <v>279</v>
      </c>
      <c r="I62" s="86"/>
      <c r="J62" s="85" t="s">
        <v>74</v>
      </c>
      <c r="K62" s="85" t="s">
        <v>162</v>
      </c>
      <c r="L62" s="85" t="s">
        <v>163</v>
      </c>
      <c r="M62" s="467"/>
      <c r="N62" s="467">
        <v>25000</v>
      </c>
      <c r="O62" s="468"/>
      <c r="P62" s="504">
        <v>0.82</v>
      </c>
      <c r="Q62" s="499" t="str">
        <f t="shared" si="1"/>
        <v/>
      </c>
      <c r="R62" s="500">
        <f t="shared" si="2"/>
        <v>20500</v>
      </c>
    </row>
    <row r="63" spans="2:18" hidden="1">
      <c r="B63" s="84">
        <v>53</v>
      </c>
      <c r="C63" s="498"/>
      <c r="D63" s="718">
        <f t="shared" si="0"/>
        <v>6</v>
      </c>
      <c r="E63" s="684">
        <v>44963</v>
      </c>
      <c r="F63" s="85"/>
      <c r="G63" s="85"/>
      <c r="H63" s="85"/>
      <c r="I63" s="86"/>
      <c r="J63" s="85" t="s">
        <v>81</v>
      </c>
      <c r="K63" s="85" t="s">
        <v>56</v>
      </c>
      <c r="L63" s="85" t="s">
        <v>91</v>
      </c>
      <c r="M63" s="467">
        <v>27.769467619047621</v>
      </c>
      <c r="N63" s="467"/>
      <c r="O63" s="468">
        <v>1000</v>
      </c>
      <c r="P63" s="468"/>
      <c r="Q63" s="499">
        <f t="shared" si="1"/>
        <v>27769.46761904762</v>
      </c>
      <c r="R63" s="500" t="str">
        <f t="shared" si="2"/>
        <v/>
      </c>
    </row>
    <row r="64" spans="2:18" hidden="1">
      <c r="B64" s="84">
        <v>54</v>
      </c>
      <c r="C64" s="498"/>
      <c r="D64" s="718">
        <f t="shared" si="0"/>
        <v>6</v>
      </c>
      <c r="E64" s="684">
        <v>44963</v>
      </c>
      <c r="F64" s="85"/>
      <c r="G64" s="85"/>
      <c r="H64" s="85"/>
      <c r="I64" s="86"/>
      <c r="J64" s="85" t="s">
        <v>81</v>
      </c>
      <c r="K64" s="85" t="s">
        <v>652</v>
      </c>
      <c r="L64" s="85" t="s">
        <v>185</v>
      </c>
      <c r="M64" s="467">
        <v>247.18544827008316</v>
      </c>
      <c r="N64" s="467"/>
      <c r="O64" s="468">
        <v>1200</v>
      </c>
      <c r="P64" s="468"/>
      <c r="Q64" s="499">
        <f t="shared" si="1"/>
        <v>296622.53792409977</v>
      </c>
      <c r="R64" s="500" t="str">
        <f t="shared" si="2"/>
        <v/>
      </c>
    </row>
    <row r="65" spans="2:18" hidden="1">
      <c r="B65" s="84">
        <v>55</v>
      </c>
      <c r="C65" s="498">
        <v>608</v>
      </c>
      <c r="D65" s="718">
        <f t="shared" si="0"/>
        <v>6</v>
      </c>
      <c r="E65" s="684">
        <v>44966</v>
      </c>
      <c r="F65" s="85" t="s">
        <v>112</v>
      </c>
      <c r="G65" s="85" t="s">
        <v>114</v>
      </c>
      <c r="H65" s="85" t="s">
        <v>114</v>
      </c>
      <c r="I65" s="167" t="s">
        <v>173</v>
      </c>
      <c r="J65" s="85" t="s">
        <v>74</v>
      </c>
      <c r="K65" s="85" t="s">
        <v>652</v>
      </c>
      <c r="L65" s="85" t="s">
        <v>185</v>
      </c>
      <c r="M65" s="467"/>
      <c r="N65" s="467">
        <v>299</v>
      </c>
      <c r="O65" s="468"/>
      <c r="P65" s="468">
        <v>400</v>
      </c>
      <c r="Q65" s="499" t="str">
        <f t="shared" si="1"/>
        <v/>
      </c>
      <c r="R65" s="500">
        <f t="shared" si="2"/>
        <v>119600</v>
      </c>
    </row>
    <row r="66" spans="2:18" hidden="1">
      <c r="B66" s="84">
        <v>56</v>
      </c>
      <c r="C66" s="498">
        <v>609</v>
      </c>
      <c r="D66" s="718">
        <f t="shared" si="0"/>
        <v>6</v>
      </c>
      <c r="E66" s="684">
        <v>44967</v>
      </c>
      <c r="F66" s="85" t="s">
        <v>112</v>
      </c>
      <c r="G66" s="85" t="s">
        <v>114</v>
      </c>
      <c r="H66" s="85" t="s">
        <v>114</v>
      </c>
      <c r="I66" s="86" t="s">
        <v>65</v>
      </c>
      <c r="J66" s="85" t="s">
        <v>74</v>
      </c>
      <c r="K66" s="85" t="s">
        <v>56</v>
      </c>
      <c r="L66" s="85" t="s">
        <v>91</v>
      </c>
      <c r="M66" s="467"/>
      <c r="N66" s="467">
        <v>40</v>
      </c>
      <c r="O66" s="468"/>
      <c r="P66" s="501">
        <v>400</v>
      </c>
      <c r="Q66" s="499" t="str">
        <f t="shared" si="1"/>
        <v/>
      </c>
      <c r="R66" s="500">
        <f t="shared" si="2"/>
        <v>16000</v>
      </c>
    </row>
    <row r="67" spans="2:18" hidden="1">
      <c r="B67" s="84">
        <v>57</v>
      </c>
      <c r="C67" s="498"/>
      <c r="D67" s="718">
        <f t="shared" si="0"/>
        <v>6</v>
      </c>
      <c r="E67" s="684">
        <v>44967</v>
      </c>
      <c r="F67" s="85"/>
      <c r="G67" s="85"/>
      <c r="H67" s="85"/>
      <c r="I67" s="86"/>
      <c r="J67" s="85" t="s">
        <v>81</v>
      </c>
      <c r="K67" s="85" t="s">
        <v>164</v>
      </c>
      <c r="L67" s="85" t="s">
        <v>165</v>
      </c>
      <c r="M67" s="467">
        <v>287.6268905420971</v>
      </c>
      <c r="N67" s="467"/>
      <c r="O67" s="468">
        <f>(42.9+42.85+33+9.28)</f>
        <v>128.03</v>
      </c>
      <c r="P67" s="468"/>
      <c r="Q67" s="499">
        <f t="shared" si="1"/>
        <v>36824.870796104689</v>
      </c>
      <c r="R67" s="500" t="str">
        <f t="shared" si="2"/>
        <v/>
      </c>
    </row>
    <row r="68" spans="2:18" hidden="1">
      <c r="B68" s="84">
        <v>58</v>
      </c>
      <c r="C68" s="498"/>
      <c r="D68" s="718">
        <f t="shared" si="0"/>
        <v>6</v>
      </c>
      <c r="E68" s="684">
        <v>44968</v>
      </c>
      <c r="F68" s="85"/>
      <c r="G68" s="85"/>
      <c r="H68" s="85"/>
      <c r="I68" s="86"/>
      <c r="J68" s="85" t="s">
        <v>81</v>
      </c>
      <c r="K68" s="85" t="s">
        <v>162</v>
      </c>
      <c r="L68" s="85" t="s">
        <v>163</v>
      </c>
      <c r="M68" s="467">
        <v>17000</v>
      </c>
      <c r="N68" s="467"/>
      <c r="O68" s="468">
        <f>(326+371+322+392)/1000</f>
        <v>1.411</v>
      </c>
      <c r="P68" s="468"/>
      <c r="Q68" s="499">
        <f t="shared" si="1"/>
        <v>23987</v>
      </c>
      <c r="R68" s="500" t="str">
        <f t="shared" si="2"/>
        <v/>
      </c>
    </row>
    <row r="69" spans="2:18" hidden="1">
      <c r="B69" s="84">
        <v>59</v>
      </c>
      <c r="C69" s="498"/>
      <c r="D69" s="718">
        <f t="shared" si="0"/>
        <v>6</v>
      </c>
      <c r="E69" s="684">
        <v>44968</v>
      </c>
      <c r="F69" s="85"/>
      <c r="G69" s="85"/>
      <c r="H69" s="85"/>
      <c r="I69" s="86"/>
      <c r="J69" s="85" t="s">
        <v>74</v>
      </c>
      <c r="K69" s="85" t="s">
        <v>162</v>
      </c>
      <c r="L69" s="85" t="s">
        <v>163</v>
      </c>
      <c r="M69" s="467"/>
      <c r="N69" s="467">
        <v>25000</v>
      </c>
      <c r="O69" s="468"/>
      <c r="P69" s="468">
        <f>(175+175+120+35+80+125)/1000</f>
        <v>0.71</v>
      </c>
      <c r="Q69" s="499" t="str">
        <f t="shared" si="1"/>
        <v/>
      </c>
      <c r="R69" s="500">
        <f t="shared" si="2"/>
        <v>17750</v>
      </c>
    </row>
    <row r="70" spans="2:18" hidden="1">
      <c r="B70" s="84">
        <v>60</v>
      </c>
      <c r="C70" s="498"/>
      <c r="D70" s="718">
        <f t="shared" si="0"/>
        <v>6</v>
      </c>
      <c r="E70" s="684">
        <v>44968</v>
      </c>
      <c r="F70" s="85" t="s">
        <v>113</v>
      </c>
      <c r="G70" s="85" t="s">
        <v>279</v>
      </c>
      <c r="H70" s="85" t="s">
        <v>279</v>
      </c>
      <c r="I70" s="86"/>
      <c r="J70" s="85" t="s">
        <v>74</v>
      </c>
      <c r="K70" s="85" t="s">
        <v>162</v>
      </c>
      <c r="L70" s="85" t="s">
        <v>163</v>
      </c>
      <c r="M70" s="467"/>
      <c r="N70" s="467">
        <v>25000</v>
      </c>
      <c r="O70" s="468"/>
      <c r="P70" s="504">
        <v>0.84499999999999997</v>
      </c>
      <c r="Q70" s="499" t="str">
        <f t="shared" si="1"/>
        <v/>
      </c>
      <c r="R70" s="500">
        <f t="shared" si="2"/>
        <v>21125</v>
      </c>
    </row>
    <row r="71" spans="2:18" hidden="1">
      <c r="B71" s="84">
        <v>61</v>
      </c>
      <c r="C71" s="498"/>
      <c r="D71" s="718">
        <f t="shared" si="0"/>
        <v>7</v>
      </c>
      <c r="E71" s="684">
        <v>44970</v>
      </c>
      <c r="F71" s="85"/>
      <c r="G71" s="85"/>
      <c r="H71" s="85"/>
      <c r="I71" s="86"/>
      <c r="J71" s="85" t="s">
        <v>74</v>
      </c>
      <c r="K71" s="85" t="s">
        <v>164</v>
      </c>
      <c r="L71" s="85" t="s">
        <v>165</v>
      </c>
      <c r="M71" s="467"/>
      <c r="N71" s="467"/>
      <c r="O71" s="468"/>
      <c r="P71" s="503">
        <v>18</v>
      </c>
      <c r="Q71" s="499" t="str">
        <f t="shared" si="1"/>
        <v/>
      </c>
      <c r="R71" s="500" t="str">
        <f t="shared" si="2"/>
        <v/>
      </c>
    </row>
    <row r="72" spans="2:18" hidden="1">
      <c r="B72" s="84">
        <v>62</v>
      </c>
      <c r="C72" s="498"/>
      <c r="D72" s="718">
        <f t="shared" si="0"/>
        <v>7</v>
      </c>
      <c r="E72" s="684">
        <v>44970</v>
      </c>
      <c r="F72" s="85"/>
      <c r="G72" s="85"/>
      <c r="H72" s="85"/>
      <c r="I72" s="86"/>
      <c r="J72" s="85" t="s">
        <v>74</v>
      </c>
      <c r="K72" s="85" t="s">
        <v>164</v>
      </c>
      <c r="L72" s="85" t="s">
        <v>165</v>
      </c>
      <c r="M72" s="467"/>
      <c r="N72" s="467"/>
      <c r="O72" s="468"/>
      <c r="P72" s="503">
        <v>1</v>
      </c>
      <c r="Q72" s="499" t="str">
        <f t="shared" si="1"/>
        <v/>
      </c>
      <c r="R72" s="500" t="str">
        <f t="shared" si="2"/>
        <v/>
      </c>
    </row>
    <row r="73" spans="2:18" hidden="1">
      <c r="B73" s="84">
        <v>63</v>
      </c>
      <c r="C73" s="498">
        <v>610</v>
      </c>
      <c r="D73" s="718">
        <f t="shared" si="0"/>
        <v>7</v>
      </c>
      <c r="E73" s="684">
        <v>44972</v>
      </c>
      <c r="F73" s="85" t="s">
        <v>112</v>
      </c>
      <c r="G73" s="85" t="s">
        <v>114</v>
      </c>
      <c r="H73" s="85" t="s">
        <v>114</v>
      </c>
      <c r="I73" s="86" t="s">
        <v>66</v>
      </c>
      <c r="J73" s="85" t="s">
        <v>74</v>
      </c>
      <c r="K73" s="85" t="s">
        <v>56</v>
      </c>
      <c r="L73" s="85" t="s">
        <v>91</v>
      </c>
      <c r="M73" s="467"/>
      <c r="N73" s="467">
        <v>40</v>
      </c>
      <c r="O73" s="468"/>
      <c r="P73" s="501">
        <v>1000</v>
      </c>
      <c r="Q73" s="499" t="str">
        <f t="shared" si="1"/>
        <v/>
      </c>
      <c r="R73" s="500">
        <f t="shared" si="2"/>
        <v>40000</v>
      </c>
    </row>
    <row r="74" spans="2:18" hidden="1">
      <c r="B74" s="84">
        <v>64</v>
      </c>
      <c r="C74" s="498"/>
      <c r="D74" s="718">
        <f t="shared" si="0"/>
        <v>7</v>
      </c>
      <c r="E74" s="684">
        <v>44973</v>
      </c>
      <c r="F74" s="85"/>
      <c r="G74" s="85"/>
      <c r="H74" s="85"/>
      <c r="I74" s="86"/>
      <c r="J74" s="85" t="s">
        <v>74</v>
      </c>
      <c r="K74" s="85" t="s">
        <v>164</v>
      </c>
      <c r="L74" s="85" t="s">
        <v>165</v>
      </c>
      <c r="M74" s="467"/>
      <c r="N74" s="467">
        <v>82.5</v>
      </c>
      <c r="O74" s="468"/>
      <c r="P74" s="468">
        <f>1+35+40</f>
        <v>76</v>
      </c>
      <c r="Q74" s="499" t="str">
        <f t="shared" si="1"/>
        <v/>
      </c>
      <c r="R74" s="500">
        <f t="shared" si="2"/>
        <v>6270</v>
      </c>
    </row>
    <row r="75" spans="2:18" hidden="1">
      <c r="B75" s="84">
        <v>65</v>
      </c>
      <c r="C75" s="498">
        <v>611</v>
      </c>
      <c r="D75" s="718">
        <f t="shared" ref="D75:D138" si="3">WEEKNUM(E75,21)</f>
        <v>7</v>
      </c>
      <c r="E75" s="684">
        <v>44974</v>
      </c>
      <c r="F75" s="85" t="s">
        <v>112</v>
      </c>
      <c r="G75" s="85" t="s">
        <v>114</v>
      </c>
      <c r="H75" s="85" t="s">
        <v>114</v>
      </c>
      <c r="I75" s="167" t="s">
        <v>174</v>
      </c>
      <c r="J75" s="85" t="s">
        <v>74</v>
      </c>
      <c r="K75" s="85" t="s">
        <v>652</v>
      </c>
      <c r="L75" s="85" t="s">
        <v>185</v>
      </c>
      <c r="M75" s="467"/>
      <c r="N75" s="467">
        <v>299</v>
      </c>
      <c r="O75" s="468"/>
      <c r="P75" s="468">
        <v>400</v>
      </c>
      <c r="Q75" s="499" t="str">
        <f t="shared" ref="Q75:Q138" si="4">IF((M75*O75)&lt;=0,"",(M75*O75))</f>
        <v/>
      </c>
      <c r="R75" s="500">
        <f t="shared" ref="R75:R138" si="5">IF((N75*P75)&lt;=0,"",(N75*P75))</f>
        <v>119600</v>
      </c>
    </row>
    <row r="76" spans="2:18" hidden="1">
      <c r="B76" s="84">
        <v>66</v>
      </c>
      <c r="C76" s="498"/>
      <c r="D76" s="718">
        <f t="shared" si="3"/>
        <v>7</v>
      </c>
      <c r="E76" s="684">
        <v>44975</v>
      </c>
      <c r="F76" s="85"/>
      <c r="G76" s="85"/>
      <c r="H76" s="85"/>
      <c r="I76" s="86"/>
      <c r="J76" s="85" t="s">
        <v>81</v>
      </c>
      <c r="K76" s="85" t="s">
        <v>162</v>
      </c>
      <c r="L76" s="85" t="s">
        <v>163</v>
      </c>
      <c r="M76" s="467">
        <v>17000</v>
      </c>
      <c r="N76" s="467"/>
      <c r="O76" s="468">
        <f>(515+405+293+488)/1000</f>
        <v>1.7010000000000001</v>
      </c>
      <c r="P76" s="468"/>
      <c r="Q76" s="499">
        <f t="shared" si="4"/>
        <v>28917</v>
      </c>
      <c r="R76" s="500" t="str">
        <f t="shared" si="5"/>
        <v/>
      </c>
    </row>
    <row r="77" spans="2:18" hidden="1">
      <c r="B77" s="84">
        <v>67</v>
      </c>
      <c r="C77" s="498"/>
      <c r="D77" s="718">
        <f t="shared" si="3"/>
        <v>7</v>
      </c>
      <c r="E77" s="684">
        <v>44975</v>
      </c>
      <c r="F77" s="85" t="s">
        <v>277</v>
      </c>
      <c r="G77" s="85" t="s">
        <v>361</v>
      </c>
      <c r="H77" s="85" t="s">
        <v>283</v>
      </c>
      <c r="I77" s="86"/>
      <c r="J77" s="85" t="s">
        <v>74</v>
      </c>
      <c r="K77" s="85" t="s">
        <v>162</v>
      </c>
      <c r="L77" s="85" t="s">
        <v>163</v>
      </c>
      <c r="M77" s="467"/>
      <c r="N77" s="467"/>
      <c r="O77" s="468"/>
      <c r="P77" s="468">
        <v>0.11</v>
      </c>
      <c r="Q77" s="499" t="str">
        <f t="shared" si="4"/>
        <v/>
      </c>
      <c r="R77" s="500" t="str">
        <f t="shared" si="5"/>
        <v/>
      </c>
    </row>
    <row r="78" spans="2:18" hidden="1">
      <c r="B78" s="84">
        <v>68</v>
      </c>
      <c r="C78" s="498"/>
      <c r="D78" s="718">
        <f t="shared" si="3"/>
        <v>7</v>
      </c>
      <c r="E78" s="684">
        <v>44975</v>
      </c>
      <c r="F78" s="85"/>
      <c r="G78" s="85"/>
      <c r="H78" s="85"/>
      <c r="I78" s="86"/>
      <c r="J78" s="85" t="s">
        <v>74</v>
      </c>
      <c r="K78" s="85" t="s">
        <v>162</v>
      </c>
      <c r="L78" s="85" t="s">
        <v>163</v>
      </c>
      <c r="M78" s="467"/>
      <c r="N78" s="467">
        <v>25000</v>
      </c>
      <c r="O78" s="468"/>
      <c r="P78" s="468">
        <f>(385+120+175+175)/1000</f>
        <v>0.85499999999999998</v>
      </c>
      <c r="Q78" s="499" t="str">
        <f t="shared" si="4"/>
        <v/>
      </c>
      <c r="R78" s="500">
        <f t="shared" si="5"/>
        <v>21375</v>
      </c>
    </row>
    <row r="79" spans="2:18" hidden="1">
      <c r="B79" s="84">
        <v>69</v>
      </c>
      <c r="C79" s="498"/>
      <c r="D79" s="718">
        <f t="shared" si="3"/>
        <v>7</v>
      </c>
      <c r="E79" s="684">
        <v>44975</v>
      </c>
      <c r="F79" s="85" t="s">
        <v>113</v>
      </c>
      <c r="G79" s="85" t="s">
        <v>279</v>
      </c>
      <c r="H79" s="85" t="s">
        <v>279</v>
      </c>
      <c r="I79" s="86"/>
      <c r="J79" s="85" t="s">
        <v>74</v>
      </c>
      <c r="K79" s="85" t="s">
        <v>162</v>
      </c>
      <c r="L79" s="85" t="s">
        <v>163</v>
      </c>
      <c r="M79" s="467"/>
      <c r="N79" s="467">
        <v>25000</v>
      </c>
      <c r="O79" s="468"/>
      <c r="P79" s="504">
        <v>1.1000000000000001</v>
      </c>
      <c r="Q79" s="499" t="str">
        <f t="shared" si="4"/>
        <v/>
      </c>
      <c r="R79" s="500">
        <f t="shared" si="5"/>
        <v>27500.000000000004</v>
      </c>
    </row>
    <row r="80" spans="2:18" hidden="1">
      <c r="B80" s="84">
        <v>70</v>
      </c>
      <c r="C80" s="498"/>
      <c r="D80" s="718">
        <f t="shared" si="3"/>
        <v>8</v>
      </c>
      <c r="E80" s="684">
        <v>44977</v>
      </c>
      <c r="F80" s="85"/>
      <c r="G80" s="85"/>
      <c r="H80" s="85"/>
      <c r="I80" s="86"/>
      <c r="J80" s="85" t="s">
        <v>81</v>
      </c>
      <c r="K80" s="85" t="s">
        <v>56</v>
      </c>
      <c r="L80" s="85" t="s">
        <v>91</v>
      </c>
      <c r="M80" s="467">
        <v>27.769467619047621</v>
      </c>
      <c r="N80" s="467"/>
      <c r="O80" s="468">
        <v>100</v>
      </c>
      <c r="P80" s="468"/>
      <c r="Q80" s="499">
        <f t="shared" si="4"/>
        <v>2776.9467619047623</v>
      </c>
      <c r="R80" s="500" t="str">
        <f t="shared" si="5"/>
        <v/>
      </c>
    </row>
    <row r="81" spans="2:18" hidden="1">
      <c r="B81" s="84">
        <v>71</v>
      </c>
      <c r="C81" s="498"/>
      <c r="D81" s="718">
        <f t="shared" si="3"/>
        <v>8</v>
      </c>
      <c r="E81" s="684">
        <v>44977</v>
      </c>
      <c r="F81" s="85"/>
      <c r="G81" s="85"/>
      <c r="H81" s="85"/>
      <c r="I81" s="86"/>
      <c r="J81" s="85" t="s">
        <v>81</v>
      </c>
      <c r="K81" s="85" t="s">
        <v>161</v>
      </c>
      <c r="L81" s="85" t="s">
        <v>185</v>
      </c>
      <c r="M81" s="467">
        <v>199.92359142534642</v>
      </c>
      <c r="N81" s="467"/>
      <c r="O81" s="468">
        <v>600</v>
      </c>
      <c r="P81" s="468"/>
      <c r="Q81" s="499">
        <f t="shared" si="4"/>
        <v>119954.15485520785</v>
      </c>
      <c r="R81" s="500" t="str">
        <f t="shared" si="5"/>
        <v/>
      </c>
    </row>
    <row r="82" spans="2:18" hidden="1">
      <c r="B82" s="84">
        <v>72</v>
      </c>
      <c r="C82" s="498">
        <v>612</v>
      </c>
      <c r="D82" s="718">
        <f t="shared" si="3"/>
        <v>8</v>
      </c>
      <c r="E82" s="684">
        <v>44978</v>
      </c>
      <c r="F82" s="85" t="s">
        <v>112</v>
      </c>
      <c r="G82" s="85" t="s">
        <v>114</v>
      </c>
      <c r="H82" s="85" t="s">
        <v>114</v>
      </c>
      <c r="I82" s="167" t="s">
        <v>175</v>
      </c>
      <c r="J82" s="85" t="s">
        <v>74</v>
      </c>
      <c r="K82" s="85" t="s">
        <v>652</v>
      </c>
      <c r="L82" s="85" t="s">
        <v>185</v>
      </c>
      <c r="M82" s="467"/>
      <c r="N82" s="467">
        <v>299</v>
      </c>
      <c r="O82" s="468"/>
      <c r="P82" s="468">
        <v>200</v>
      </c>
      <c r="Q82" s="499" t="str">
        <f t="shared" si="4"/>
        <v/>
      </c>
      <c r="R82" s="500">
        <f t="shared" si="5"/>
        <v>59800</v>
      </c>
    </row>
    <row r="83" spans="2:18" hidden="1">
      <c r="B83" s="84">
        <v>73</v>
      </c>
      <c r="C83" s="498">
        <v>612</v>
      </c>
      <c r="D83" s="718">
        <f t="shared" si="3"/>
        <v>8</v>
      </c>
      <c r="E83" s="684">
        <v>44978</v>
      </c>
      <c r="F83" s="85" t="s">
        <v>112</v>
      </c>
      <c r="G83" s="85" t="s">
        <v>114</v>
      </c>
      <c r="H83" s="85" t="s">
        <v>114</v>
      </c>
      <c r="I83" s="167" t="s">
        <v>175</v>
      </c>
      <c r="J83" s="85" t="s">
        <v>74</v>
      </c>
      <c r="K83" s="85" t="s">
        <v>161</v>
      </c>
      <c r="L83" s="85" t="s">
        <v>185</v>
      </c>
      <c r="M83" s="467"/>
      <c r="N83" s="467">
        <v>240</v>
      </c>
      <c r="O83" s="468"/>
      <c r="P83" s="468">
        <v>200</v>
      </c>
      <c r="Q83" s="499" t="str">
        <f t="shared" si="4"/>
        <v/>
      </c>
      <c r="R83" s="500">
        <f t="shared" si="5"/>
        <v>48000</v>
      </c>
    </row>
    <row r="84" spans="2:18" hidden="1">
      <c r="B84" s="84">
        <v>74</v>
      </c>
      <c r="C84" s="498">
        <v>613</v>
      </c>
      <c r="D84" s="718">
        <f t="shared" si="3"/>
        <v>8</v>
      </c>
      <c r="E84" s="684">
        <v>44978</v>
      </c>
      <c r="F84" s="85" t="s">
        <v>112</v>
      </c>
      <c r="G84" s="85" t="s">
        <v>114</v>
      </c>
      <c r="H84" s="85" t="s">
        <v>114</v>
      </c>
      <c r="I84" s="167" t="s">
        <v>176</v>
      </c>
      <c r="J84" s="85" t="s">
        <v>74</v>
      </c>
      <c r="K84" s="85" t="s">
        <v>652</v>
      </c>
      <c r="L84" s="85" t="s">
        <v>185</v>
      </c>
      <c r="M84" s="467"/>
      <c r="N84" s="467">
        <v>299</v>
      </c>
      <c r="O84" s="468"/>
      <c r="P84" s="468">
        <v>200</v>
      </c>
      <c r="Q84" s="499" t="str">
        <f t="shared" si="4"/>
        <v/>
      </c>
      <c r="R84" s="500">
        <f t="shared" si="5"/>
        <v>59800</v>
      </c>
    </row>
    <row r="85" spans="2:18" hidden="1">
      <c r="B85" s="84">
        <v>75</v>
      </c>
      <c r="C85" s="498">
        <v>613</v>
      </c>
      <c r="D85" s="718">
        <f t="shared" si="3"/>
        <v>8</v>
      </c>
      <c r="E85" s="684">
        <v>44978</v>
      </c>
      <c r="F85" s="85" t="s">
        <v>112</v>
      </c>
      <c r="G85" s="85" t="s">
        <v>114</v>
      </c>
      <c r="H85" s="85" t="s">
        <v>114</v>
      </c>
      <c r="I85" s="167" t="s">
        <v>176</v>
      </c>
      <c r="J85" s="85" t="s">
        <v>74</v>
      </c>
      <c r="K85" s="85" t="s">
        <v>161</v>
      </c>
      <c r="L85" s="85" t="s">
        <v>185</v>
      </c>
      <c r="M85" s="467"/>
      <c r="N85" s="467">
        <v>240</v>
      </c>
      <c r="O85" s="468"/>
      <c r="P85" s="468">
        <v>200</v>
      </c>
      <c r="Q85" s="499" t="str">
        <f t="shared" si="4"/>
        <v/>
      </c>
      <c r="R85" s="500">
        <f t="shared" si="5"/>
        <v>48000</v>
      </c>
    </row>
    <row r="86" spans="2:18" hidden="1">
      <c r="B86" s="84">
        <v>76</v>
      </c>
      <c r="C86" s="498"/>
      <c r="D86" s="718">
        <f t="shared" si="3"/>
        <v>8</v>
      </c>
      <c r="E86" s="684">
        <v>44982</v>
      </c>
      <c r="F86" s="85"/>
      <c r="G86" s="85"/>
      <c r="H86" s="85"/>
      <c r="I86" s="86"/>
      <c r="J86" s="85" t="s">
        <v>81</v>
      </c>
      <c r="K86" s="85" t="s">
        <v>162</v>
      </c>
      <c r="L86" s="85" t="s">
        <v>163</v>
      </c>
      <c r="M86" s="467">
        <v>17000</v>
      </c>
      <c r="N86" s="467"/>
      <c r="O86" s="468">
        <f>(505+310+532+419)/1000</f>
        <v>1.766</v>
      </c>
      <c r="P86" s="468"/>
      <c r="Q86" s="499">
        <f t="shared" si="4"/>
        <v>30022</v>
      </c>
      <c r="R86" s="500" t="str">
        <f t="shared" si="5"/>
        <v/>
      </c>
    </row>
    <row r="87" spans="2:18" hidden="1">
      <c r="B87" s="84">
        <v>77</v>
      </c>
      <c r="C87" s="498"/>
      <c r="D87" s="718">
        <f t="shared" si="3"/>
        <v>8</v>
      </c>
      <c r="E87" s="684">
        <v>44982</v>
      </c>
      <c r="F87" s="85"/>
      <c r="G87" s="85"/>
      <c r="H87" s="85"/>
      <c r="I87" s="86"/>
      <c r="J87" s="85" t="s">
        <v>74</v>
      </c>
      <c r="K87" s="85" t="s">
        <v>162</v>
      </c>
      <c r="L87" s="85" t="s">
        <v>163</v>
      </c>
      <c r="M87" s="467"/>
      <c r="N87" s="467">
        <v>25000</v>
      </c>
      <c r="O87" s="468"/>
      <c r="P87" s="468">
        <f>(175+225+95)/1000</f>
        <v>0.495</v>
      </c>
      <c r="Q87" s="499" t="str">
        <f t="shared" si="4"/>
        <v/>
      </c>
      <c r="R87" s="500">
        <f t="shared" si="5"/>
        <v>12375</v>
      </c>
    </row>
    <row r="88" spans="2:18" hidden="1">
      <c r="B88" s="84">
        <v>78</v>
      </c>
      <c r="C88" s="498"/>
      <c r="D88" s="718">
        <f t="shared" si="3"/>
        <v>8</v>
      </c>
      <c r="E88" s="684">
        <v>44982</v>
      </c>
      <c r="F88" s="85" t="s">
        <v>113</v>
      </c>
      <c r="G88" s="85" t="s">
        <v>279</v>
      </c>
      <c r="H88" s="85" t="s">
        <v>279</v>
      </c>
      <c r="I88" s="86"/>
      <c r="J88" s="85" t="s">
        <v>74</v>
      </c>
      <c r="K88" s="85" t="s">
        <v>162</v>
      </c>
      <c r="L88" s="85" t="s">
        <v>163</v>
      </c>
      <c r="M88" s="467"/>
      <c r="N88" s="467">
        <v>25000</v>
      </c>
      <c r="O88" s="468"/>
      <c r="P88" s="504">
        <v>0.9</v>
      </c>
      <c r="Q88" s="499" t="str">
        <f t="shared" si="4"/>
        <v/>
      </c>
      <c r="R88" s="500">
        <f t="shared" si="5"/>
        <v>22500</v>
      </c>
    </row>
    <row r="89" spans="2:18" hidden="1">
      <c r="B89" s="84">
        <v>79</v>
      </c>
      <c r="C89" s="506">
        <v>10598</v>
      </c>
      <c r="D89" s="718">
        <f t="shared" si="3"/>
        <v>8</v>
      </c>
      <c r="E89" s="684">
        <v>44982</v>
      </c>
      <c r="F89" s="85" t="s">
        <v>440</v>
      </c>
      <c r="G89" s="85" t="s">
        <v>441</v>
      </c>
      <c r="H89" s="85" t="s">
        <v>91</v>
      </c>
      <c r="I89" s="86"/>
      <c r="J89" s="85" t="s">
        <v>74</v>
      </c>
      <c r="K89" s="85" t="s">
        <v>87</v>
      </c>
      <c r="L89" s="85" t="s">
        <v>91</v>
      </c>
      <c r="M89" s="467"/>
      <c r="N89" s="467"/>
      <c r="O89" s="468"/>
      <c r="P89" s="505">
        <v>1162.5</v>
      </c>
      <c r="Q89" s="499" t="str">
        <f t="shared" si="4"/>
        <v/>
      </c>
      <c r="R89" s="500" t="str">
        <f t="shared" si="5"/>
        <v/>
      </c>
    </row>
    <row r="90" spans="2:18" hidden="1">
      <c r="B90" s="84">
        <v>80</v>
      </c>
      <c r="C90" s="498">
        <v>614</v>
      </c>
      <c r="D90" s="718">
        <f t="shared" si="3"/>
        <v>9</v>
      </c>
      <c r="E90" s="684">
        <v>44984</v>
      </c>
      <c r="F90" s="85" t="s">
        <v>112</v>
      </c>
      <c r="G90" s="85" t="s">
        <v>114</v>
      </c>
      <c r="H90" s="85" t="s">
        <v>114</v>
      </c>
      <c r="I90" s="86" t="s">
        <v>67</v>
      </c>
      <c r="J90" s="85" t="s">
        <v>74</v>
      </c>
      <c r="K90" s="85" t="s">
        <v>56</v>
      </c>
      <c r="L90" s="85" t="s">
        <v>91</v>
      </c>
      <c r="M90" s="467"/>
      <c r="N90" s="467">
        <v>40</v>
      </c>
      <c r="O90" s="468"/>
      <c r="P90" s="501">
        <v>200</v>
      </c>
      <c r="Q90" s="499" t="str">
        <f t="shared" si="4"/>
        <v/>
      </c>
      <c r="R90" s="500">
        <f t="shared" si="5"/>
        <v>8000</v>
      </c>
    </row>
    <row r="91" spans="2:18" hidden="1">
      <c r="B91" s="84">
        <v>81</v>
      </c>
      <c r="C91" s="498"/>
      <c r="D91" s="718">
        <f t="shared" si="3"/>
        <v>9</v>
      </c>
      <c r="E91" s="684">
        <v>44984</v>
      </c>
      <c r="F91" s="85"/>
      <c r="G91" s="85"/>
      <c r="H91" s="85"/>
      <c r="I91" s="86"/>
      <c r="J91" s="85" t="s">
        <v>81</v>
      </c>
      <c r="K91" s="85" t="s">
        <v>56</v>
      </c>
      <c r="L91" s="85" t="s">
        <v>91</v>
      </c>
      <c r="M91" s="467">
        <v>27.769467619047621</v>
      </c>
      <c r="N91" s="467"/>
      <c r="O91" s="468">
        <v>1000</v>
      </c>
      <c r="P91" s="468"/>
      <c r="Q91" s="499">
        <f t="shared" si="4"/>
        <v>27769.46761904762</v>
      </c>
      <c r="R91" s="500" t="str">
        <f t="shared" si="5"/>
        <v/>
      </c>
    </row>
    <row r="92" spans="2:18" hidden="1">
      <c r="B92" s="84">
        <v>82</v>
      </c>
      <c r="C92" s="498"/>
      <c r="D92" s="718">
        <f t="shared" si="3"/>
        <v>9</v>
      </c>
      <c r="E92" s="684">
        <v>44984</v>
      </c>
      <c r="F92" s="85"/>
      <c r="G92" s="85"/>
      <c r="H92" s="85"/>
      <c r="I92" s="86"/>
      <c r="J92" s="85" t="s">
        <v>74</v>
      </c>
      <c r="K92" s="85" t="s">
        <v>164</v>
      </c>
      <c r="L92" s="85" t="s">
        <v>165</v>
      </c>
      <c r="M92" s="467"/>
      <c r="N92" s="467">
        <v>82.5</v>
      </c>
      <c r="O92" s="468"/>
      <c r="P92" s="468">
        <v>40</v>
      </c>
      <c r="Q92" s="499" t="str">
        <f t="shared" si="4"/>
        <v/>
      </c>
      <c r="R92" s="500">
        <f t="shared" si="5"/>
        <v>3300</v>
      </c>
    </row>
    <row r="93" spans="2:18" hidden="1">
      <c r="B93" s="84">
        <v>83</v>
      </c>
      <c r="C93" s="498"/>
      <c r="D93" s="718">
        <f t="shared" si="3"/>
        <v>9</v>
      </c>
      <c r="E93" s="684">
        <v>44986</v>
      </c>
      <c r="F93" s="85"/>
      <c r="G93" s="85"/>
      <c r="H93" s="85"/>
      <c r="I93" s="86"/>
      <c r="J93" s="85" t="s">
        <v>81</v>
      </c>
      <c r="K93" s="85" t="s">
        <v>56</v>
      </c>
      <c r="L93" s="85" t="s">
        <v>91</v>
      </c>
      <c r="M93" s="467">
        <v>27.769467619047621</v>
      </c>
      <c r="N93" s="467"/>
      <c r="O93" s="468">
        <v>2000</v>
      </c>
      <c r="P93" s="468"/>
      <c r="Q93" s="499">
        <f t="shared" si="4"/>
        <v>55538.93523809524</v>
      </c>
      <c r="R93" s="500" t="str">
        <f t="shared" si="5"/>
        <v/>
      </c>
    </row>
    <row r="94" spans="2:18" hidden="1">
      <c r="B94" s="84">
        <v>84</v>
      </c>
      <c r="C94" s="498"/>
      <c r="D94" s="718">
        <f t="shared" si="3"/>
        <v>9</v>
      </c>
      <c r="E94" s="684">
        <v>44986</v>
      </c>
      <c r="F94" s="85"/>
      <c r="G94" s="85"/>
      <c r="H94" s="85"/>
      <c r="I94" s="86"/>
      <c r="J94" s="85" t="s">
        <v>81</v>
      </c>
      <c r="K94" s="85" t="s">
        <v>652</v>
      </c>
      <c r="L94" s="85" t="s">
        <v>185</v>
      </c>
      <c r="M94" s="467">
        <v>247.18544827008316</v>
      </c>
      <c r="N94" s="467"/>
      <c r="O94" s="468">
        <v>600</v>
      </c>
      <c r="P94" s="468"/>
      <c r="Q94" s="499">
        <f t="shared" si="4"/>
        <v>148311.26896204989</v>
      </c>
      <c r="R94" s="500" t="str">
        <f t="shared" si="5"/>
        <v/>
      </c>
    </row>
    <row r="95" spans="2:18" hidden="1">
      <c r="B95" s="84">
        <v>85</v>
      </c>
      <c r="C95" s="498">
        <v>615</v>
      </c>
      <c r="D95" s="718">
        <f t="shared" si="3"/>
        <v>9</v>
      </c>
      <c r="E95" s="684">
        <v>44987</v>
      </c>
      <c r="F95" s="85" t="s">
        <v>112</v>
      </c>
      <c r="G95" s="85" t="s">
        <v>114</v>
      </c>
      <c r="H95" s="85" t="s">
        <v>114</v>
      </c>
      <c r="I95" s="86" t="s">
        <v>67</v>
      </c>
      <c r="J95" s="85" t="s">
        <v>74</v>
      </c>
      <c r="K95" s="85" t="s">
        <v>56</v>
      </c>
      <c r="L95" s="85" t="s">
        <v>91</v>
      </c>
      <c r="M95" s="467"/>
      <c r="N95" s="467">
        <v>40</v>
      </c>
      <c r="O95" s="468"/>
      <c r="P95" s="501">
        <v>1000</v>
      </c>
      <c r="Q95" s="499" t="str">
        <f t="shared" si="4"/>
        <v/>
      </c>
      <c r="R95" s="500">
        <f t="shared" si="5"/>
        <v>40000</v>
      </c>
    </row>
    <row r="96" spans="2:18" hidden="1">
      <c r="B96" s="84">
        <v>86</v>
      </c>
      <c r="C96" s="498">
        <v>615</v>
      </c>
      <c r="D96" s="718">
        <f t="shared" si="3"/>
        <v>9</v>
      </c>
      <c r="E96" s="684">
        <v>44987</v>
      </c>
      <c r="F96" s="85" t="s">
        <v>112</v>
      </c>
      <c r="G96" s="85" t="s">
        <v>114</v>
      </c>
      <c r="H96" s="85" t="s">
        <v>114</v>
      </c>
      <c r="I96" s="167" t="s">
        <v>177</v>
      </c>
      <c r="J96" s="85" t="s">
        <v>74</v>
      </c>
      <c r="K96" s="85" t="s">
        <v>652</v>
      </c>
      <c r="L96" s="85" t="s">
        <v>185</v>
      </c>
      <c r="M96" s="467"/>
      <c r="N96" s="467">
        <v>299</v>
      </c>
      <c r="O96" s="468"/>
      <c r="P96" s="468">
        <v>200</v>
      </c>
      <c r="Q96" s="499" t="str">
        <f t="shared" si="4"/>
        <v/>
      </c>
      <c r="R96" s="500">
        <f t="shared" si="5"/>
        <v>59800</v>
      </c>
    </row>
    <row r="97" spans="2:18" hidden="1">
      <c r="B97" s="84">
        <v>87</v>
      </c>
      <c r="C97" s="498"/>
      <c r="D97" s="718">
        <f t="shared" si="3"/>
        <v>9</v>
      </c>
      <c r="E97" s="684">
        <v>44989</v>
      </c>
      <c r="F97" s="85"/>
      <c r="G97" s="85"/>
      <c r="H97" s="85"/>
      <c r="I97" s="86"/>
      <c r="J97" s="85" t="s">
        <v>81</v>
      </c>
      <c r="K97" s="85" t="s">
        <v>162</v>
      </c>
      <c r="L97" s="85" t="s">
        <v>163</v>
      </c>
      <c r="M97" s="467">
        <v>17000</v>
      </c>
      <c r="N97" s="467"/>
      <c r="O97" s="468">
        <f>(625+523+339+507)/1000</f>
        <v>1.994</v>
      </c>
      <c r="P97" s="468"/>
      <c r="Q97" s="499">
        <f t="shared" si="4"/>
        <v>33898</v>
      </c>
      <c r="R97" s="500" t="str">
        <f t="shared" si="5"/>
        <v/>
      </c>
    </row>
    <row r="98" spans="2:18" hidden="1">
      <c r="B98" s="84">
        <v>88</v>
      </c>
      <c r="C98" s="498"/>
      <c r="D98" s="718">
        <f t="shared" si="3"/>
        <v>9</v>
      </c>
      <c r="E98" s="684">
        <v>44989</v>
      </c>
      <c r="F98" s="85" t="s">
        <v>277</v>
      </c>
      <c r="G98" s="85" t="s">
        <v>361</v>
      </c>
      <c r="H98" s="85" t="s">
        <v>283</v>
      </c>
      <c r="I98" s="86"/>
      <c r="J98" s="85" t="s">
        <v>74</v>
      </c>
      <c r="K98" s="85" t="s">
        <v>162</v>
      </c>
      <c r="L98" s="85" t="s">
        <v>163</v>
      </c>
      <c r="M98" s="467"/>
      <c r="N98" s="467"/>
      <c r="O98" s="468"/>
      <c r="P98" s="468">
        <v>0.11</v>
      </c>
      <c r="Q98" s="499" t="str">
        <f t="shared" si="4"/>
        <v/>
      </c>
      <c r="R98" s="500" t="str">
        <f t="shared" si="5"/>
        <v/>
      </c>
    </row>
    <row r="99" spans="2:18" hidden="1">
      <c r="B99" s="84">
        <v>89</v>
      </c>
      <c r="C99" s="498"/>
      <c r="D99" s="718">
        <f t="shared" si="3"/>
        <v>9</v>
      </c>
      <c r="E99" s="684">
        <v>44989</v>
      </c>
      <c r="F99" s="85"/>
      <c r="G99" s="85"/>
      <c r="H99" s="85"/>
      <c r="I99" s="86"/>
      <c r="J99" s="85" t="s">
        <v>74</v>
      </c>
      <c r="K99" s="85" t="s">
        <v>162</v>
      </c>
      <c r="L99" s="85" t="s">
        <v>163</v>
      </c>
      <c r="M99" s="467"/>
      <c r="N99" s="467">
        <v>25000</v>
      </c>
      <c r="O99" s="468"/>
      <c r="P99" s="468">
        <f>(175+175+100+400)/1000</f>
        <v>0.85</v>
      </c>
      <c r="Q99" s="499" t="str">
        <f t="shared" si="4"/>
        <v/>
      </c>
      <c r="R99" s="500">
        <f t="shared" si="5"/>
        <v>21250</v>
      </c>
    </row>
    <row r="100" spans="2:18" hidden="1">
      <c r="B100" s="84">
        <v>90</v>
      </c>
      <c r="C100" s="498"/>
      <c r="D100" s="718">
        <f t="shared" si="3"/>
        <v>9</v>
      </c>
      <c r="E100" s="684">
        <v>44989</v>
      </c>
      <c r="F100" s="85"/>
      <c r="G100" s="85"/>
      <c r="H100" s="85"/>
      <c r="I100" s="86"/>
      <c r="J100" s="85" t="s">
        <v>81</v>
      </c>
      <c r="K100" s="85" t="s">
        <v>164</v>
      </c>
      <c r="L100" s="85" t="s">
        <v>165</v>
      </c>
      <c r="M100" s="467">
        <v>287.6268905420971</v>
      </c>
      <c r="N100" s="467"/>
      <c r="O100" s="468">
        <f>(71.7+26.4)</f>
        <v>98.1</v>
      </c>
      <c r="P100" s="468"/>
      <c r="Q100" s="499">
        <f t="shared" si="4"/>
        <v>28216.197962179725</v>
      </c>
      <c r="R100" s="500" t="str">
        <f t="shared" si="5"/>
        <v/>
      </c>
    </row>
    <row r="101" spans="2:18" hidden="1">
      <c r="B101" s="84">
        <v>91</v>
      </c>
      <c r="C101" s="498"/>
      <c r="D101" s="718">
        <f t="shared" si="3"/>
        <v>9</v>
      </c>
      <c r="E101" s="684">
        <v>44989</v>
      </c>
      <c r="F101" s="85"/>
      <c r="G101" s="85"/>
      <c r="H101" s="85"/>
      <c r="I101" s="86"/>
      <c r="J101" s="85" t="s">
        <v>74</v>
      </c>
      <c r="K101" s="85" t="s">
        <v>164</v>
      </c>
      <c r="L101" s="85" t="s">
        <v>165</v>
      </c>
      <c r="M101" s="467"/>
      <c r="N101" s="467"/>
      <c r="O101" s="468"/>
      <c r="P101" s="503">
        <f>1</f>
        <v>1</v>
      </c>
      <c r="Q101" s="499" t="str">
        <f t="shared" si="4"/>
        <v/>
      </c>
      <c r="R101" s="500" t="str">
        <f t="shared" si="5"/>
        <v/>
      </c>
    </row>
    <row r="102" spans="2:18" hidden="1">
      <c r="B102" s="84">
        <v>92</v>
      </c>
      <c r="C102" s="498"/>
      <c r="D102" s="718">
        <f t="shared" si="3"/>
        <v>9</v>
      </c>
      <c r="E102" s="684">
        <v>44989</v>
      </c>
      <c r="F102" s="85"/>
      <c r="G102" s="85"/>
      <c r="H102" s="85"/>
      <c r="I102" s="86"/>
      <c r="J102" s="85" t="s">
        <v>74</v>
      </c>
      <c r="K102" s="85" t="s">
        <v>164</v>
      </c>
      <c r="L102" s="85" t="s">
        <v>165</v>
      </c>
      <c r="M102" s="467"/>
      <c r="N102" s="467">
        <v>82.5</v>
      </c>
      <c r="O102" s="468"/>
      <c r="P102" s="468">
        <v>40</v>
      </c>
      <c r="Q102" s="499" t="str">
        <f t="shared" si="4"/>
        <v/>
      </c>
      <c r="R102" s="500">
        <f t="shared" si="5"/>
        <v>3300</v>
      </c>
    </row>
    <row r="103" spans="2:18" hidden="1">
      <c r="B103" s="84">
        <v>93</v>
      </c>
      <c r="C103" s="498"/>
      <c r="D103" s="718">
        <f t="shared" si="3"/>
        <v>10</v>
      </c>
      <c r="E103" s="684">
        <v>44991</v>
      </c>
      <c r="F103" s="85"/>
      <c r="G103" s="85"/>
      <c r="H103" s="85"/>
      <c r="I103" s="86"/>
      <c r="J103" s="85" t="s">
        <v>81</v>
      </c>
      <c r="K103" s="85" t="s">
        <v>56</v>
      </c>
      <c r="L103" s="85" t="s">
        <v>91</v>
      </c>
      <c r="M103" s="467">
        <v>27.769467619047621</v>
      </c>
      <c r="N103" s="467"/>
      <c r="O103" s="468">
        <v>2000</v>
      </c>
      <c r="P103" s="468"/>
      <c r="Q103" s="499">
        <f t="shared" si="4"/>
        <v>55538.93523809524</v>
      </c>
      <c r="R103" s="500" t="str">
        <f t="shared" si="5"/>
        <v/>
      </c>
    </row>
    <row r="104" spans="2:18" hidden="1">
      <c r="B104" s="84">
        <v>94</v>
      </c>
      <c r="C104" s="498"/>
      <c r="D104" s="718">
        <f t="shared" si="3"/>
        <v>10</v>
      </c>
      <c r="E104" s="684">
        <v>44991</v>
      </c>
      <c r="F104" s="85"/>
      <c r="G104" s="85"/>
      <c r="H104" s="85"/>
      <c r="I104" s="86"/>
      <c r="J104" s="85" t="s">
        <v>81</v>
      </c>
      <c r="K104" s="85" t="s">
        <v>652</v>
      </c>
      <c r="L104" s="85" t="s">
        <v>185</v>
      </c>
      <c r="M104" s="467">
        <v>247.18544827008316</v>
      </c>
      <c r="N104" s="467"/>
      <c r="O104" s="468">
        <v>600</v>
      </c>
      <c r="P104" s="468"/>
      <c r="Q104" s="499">
        <f t="shared" si="4"/>
        <v>148311.26896204989</v>
      </c>
      <c r="R104" s="500" t="str">
        <f t="shared" si="5"/>
        <v/>
      </c>
    </row>
    <row r="105" spans="2:18" hidden="1">
      <c r="B105" s="84">
        <v>95</v>
      </c>
      <c r="C105" s="498">
        <v>616</v>
      </c>
      <c r="D105" s="718">
        <f t="shared" si="3"/>
        <v>10</v>
      </c>
      <c r="E105" s="684">
        <v>44993</v>
      </c>
      <c r="F105" s="85" t="s">
        <v>112</v>
      </c>
      <c r="G105" s="85" t="s">
        <v>114</v>
      </c>
      <c r="H105" s="85" t="s">
        <v>114</v>
      </c>
      <c r="I105" s="167" t="s">
        <v>178</v>
      </c>
      <c r="J105" s="85" t="s">
        <v>74</v>
      </c>
      <c r="K105" s="85" t="s">
        <v>652</v>
      </c>
      <c r="L105" s="85" t="s">
        <v>185</v>
      </c>
      <c r="M105" s="467"/>
      <c r="N105" s="467">
        <v>299</v>
      </c>
      <c r="O105" s="468"/>
      <c r="P105" s="468">
        <v>600</v>
      </c>
      <c r="Q105" s="499" t="str">
        <f t="shared" si="4"/>
        <v/>
      </c>
      <c r="R105" s="500">
        <f t="shared" si="5"/>
        <v>179400</v>
      </c>
    </row>
    <row r="106" spans="2:18" hidden="1">
      <c r="B106" s="84">
        <v>96</v>
      </c>
      <c r="C106" s="498">
        <v>616</v>
      </c>
      <c r="D106" s="718">
        <f t="shared" si="3"/>
        <v>10</v>
      </c>
      <c r="E106" s="684">
        <v>44993</v>
      </c>
      <c r="F106" s="85" t="s">
        <v>112</v>
      </c>
      <c r="G106" s="85" t="s">
        <v>114</v>
      </c>
      <c r="H106" s="85" t="s">
        <v>114</v>
      </c>
      <c r="I106" s="167" t="s">
        <v>179</v>
      </c>
      <c r="J106" s="85" t="s">
        <v>74</v>
      </c>
      <c r="K106" s="85" t="s">
        <v>161</v>
      </c>
      <c r="L106" s="85" t="s">
        <v>185</v>
      </c>
      <c r="M106" s="467"/>
      <c r="N106" s="467">
        <v>240</v>
      </c>
      <c r="O106" s="468"/>
      <c r="P106" s="468">
        <v>200</v>
      </c>
      <c r="Q106" s="499" t="str">
        <f t="shared" si="4"/>
        <v/>
      </c>
      <c r="R106" s="500">
        <f t="shared" si="5"/>
        <v>48000</v>
      </c>
    </row>
    <row r="107" spans="2:18" hidden="1">
      <c r="B107" s="84">
        <v>97</v>
      </c>
      <c r="C107" s="498">
        <v>617</v>
      </c>
      <c r="D107" s="718">
        <f t="shared" si="3"/>
        <v>10</v>
      </c>
      <c r="E107" s="684">
        <v>44994</v>
      </c>
      <c r="F107" s="85" t="s">
        <v>112</v>
      </c>
      <c r="G107" s="85" t="s">
        <v>114</v>
      </c>
      <c r="H107" s="85" t="s">
        <v>114</v>
      </c>
      <c r="I107" s="86" t="s">
        <v>68</v>
      </c>
      <c r="J107" s="85" t="s">
        <v>74</v>
      </c>
      <c r="K107" s="85" t="s">
        <v>56</v>
      </c>
      <c r="L107" s="85" t="s">
        <v>91</v>
      </c>
      <c r="M107" s="467"/>
      <c r="N107" s="467">
        <v>40</v>
      </c>
      <c r="O107" s="468"/>
      <c r="P107" s="501">
        <v>400</v>
      </c>
      <c r="Q107" s="499" t="str">
        <f t="shared" si="4"/>
        <v/>
      </c>
      <c r="R107" s="500">
        <f t="shared" si="5"/>
        <v>16000</v>
      </c>
    </row>
    <row r="108" spans="2:18" hidden="1">
      <c r="B108" s="84">
        <v>98</v>
      </c>
      <c r="C108" s="498"/>
      <c r="D108" s="718">
        <f t="shared" si="3"/>
        <v>10</v>
      </c>
      <c r="E108" s="684">
        <v>44996</v>
      </c>
      <c r="F108" s="85"/>
      <c r="G108" s="85"/>
      <c r="H108" s="85"/>
      <c r="I108" s="86"/>
      <c r="J108" s="85" t="s">
        <v>81</v>
      </c>
      <c r="K108" s="85" t="s">
        <v>162</v>
      </c>
      <c r="L108" s="85" t="s">
        <v>163</v>
      </c>
      <c r="M108" s="467">
        <v>17000</v>
      </c>
      <c r="N108" s="467"/>
      <c r="O108" s="468">
        <f>(420+341+348+323)/1000</f>
        <v>1.4319999999999999</v>
      </c>
      <c r="P108" s="468"/>
      <c r="Q108" s="499">
        <f t="shared" si="4"/>
        <v>24344</v>
      </c>
      <c r="R108" s="500" t="str">
        <f t="shared" si="5"/>
        <v/>
      </c>
    </row>
    <row r="109" spans="2:18" hidden="1">
      <c r="B109" s="84">
        <v>99</v>
      </c>
      <c r="C109" s="498"/>
      <c r="D109" s="718">
        <f t="shared" si="3"/>
        <v>10</v>
      </c>
      <c r="E109" s="684">
        <v>44996</v>
      </c>
      <c r="F109" s="85"/>
      <c r="G109" s="85"/>
      <c r="H109" s="85"/>
      <c r="I109" s="86"/>
      <c r="J109" s="85" t="s">
        <v>74</v>
      </c>
      <c r="K109" s="85" t="s">
        <v>162</v>
      </c>
      <c r="L109" s="85" t="s">
        <v>163</v>
      </c>
      <c r="M109" s="467"/>
      <c r="N109" s="467">
        <v>25000</v>
      </c>
      <c r="O109" s="468"/>
      <c r="P109" s="468">
        <f>(500+175+150+400+290)/1000</f>
        <v>1.5149999999999999</v>
      </c>
      <c r="Q109" s="499" t="str">
        <f t="shared" si="4"/>
        <v/>
      </c>
      <c r="R109" s="500">
        <f t="shared" si="5"/>
        <v>37875</v>
      </c>
    </row>
    <row r="110" spans="2:18" hidden="1">
      <c r="B110" s="84">
        <v>100</v>
      </c>
      <c r="C110" s="498"/>
      <c r="D110" s="718">
        <f t="shared" si="3"/>
        <v>10</v>
      </c>
      <c r="E110" s="684">
        <v>44996</v>
      </c>
      <c r="F110" s="85" t="s">
        <v>113</v>
      </c>
      <c r="G110" s="85" t="s">
        <v>280</v>
      </c>
      <c r="H110" s="85" t="s">
        <v>280</v>
      </c>
      <c r="I110" s="86"/>
      <c r="J110" s="85" t="s">
        <v>74</v>
      </c>
      <c r="K110" s="85" t="s">
        <v>162</v>
      </c>
      <c r="L110" s="85" t="s">
        <v>163</v>
      </c>
      <c r="M110" s="467"/>
      <c r="N110" s="467">
        <v>42000</v>
      </c>
      <c r="O110" s="468"/>
      <c r="P110" s="468">
        <f>250/1000</f>
        <v>0.25</v>
      </c>
      <c r="Q110" s="499" t="str">
        <f t="shared" si="4"/>
        <v/>
      </c>
      <c r="R110" s="500">
        <f t="shared" si="5"/>
        <v>10500</v>
      </c>
    </row>
    <row r="111" spans="2:18" hidden="1">
      <c r="B111" s="84">
        <v>101</v>
      </c>
      <c r="C111" s="498"/>
      <c r="D111" s="718">
        <f t="shared" si="3"/>
        <v>10</v>
      </c>
      <c r="E111" s="684">
        <v>44996</v>
      </c>
      <c r="F111" s="85" t="s">
        <v>113</v>
      </c>
      <c r="G111" s="85" t="s">
        <v>279</v>
      </c>
      <c r="H111" s="85" t="s">
        <v>279</v>
      </c>
      <c r="I111" s="86"/>
      <c r="J111" s="85" t="s">
        <v>74</v>
      </c>
      <c r="K111" s="85" t="s">
        <v>162</v>
      </c>
      <c r="L111" s="85" t="s">
        <v>163</v>
      </c>
      <c r="M111" s="467"/>
      <c r="N111" s="467">
        <v>25000</v>
      </c>
      <c r="O111" s="468"/>
      <c r="P111" s="504">
        <v>0.8</v>
      </c>
      <c r="Q111" s="499" t="str">
        <f t="shared" si="4"/>
        <v/>
      </c>
      <c r="R111" s="500">
        <f t="shared" si="5"/>
        <v>20000</v>
      </c>
    </row>
    <row r="112" spans="2:18" hidden="1">
      <c r="B112" s="84">
        <v>102</v>
      </c>
      <c r="C112" s="498"/>
      <c r="D112" s="718">
        <f t="shared" si="3"/>
        <v>11</v>
      </c>
      <c r="E112" s="684">
        <v>44998</v>
      </c>
      <c r="F112" s="85"/>
      <c r="G112" s="85"/>
      <c r="H112" s="85"/>
      <c r="I112" s="86"/>
      <c r="J112" s="85" t="s">
        <v>81</v>
      </c>
      <c r="K112" s="85" t="s">
        <v>652</v>
      </c>
      <c r="L112" s="85" t="s">
        <v>185</v>
      </c>
      <c r="M112" s="467">
        <v>247.18544827008316</v>
      </c>
      <c r="N112" s="467"/>
      <c r="O112" s="468">
        <v>800</v>
      </c>
      <c r="P112" s="468"/>
      <c r="Q112" s="499">
        <f t="shared" si="4"/>
        <v>197748.35861606651</v>
      </c>
      <c r="R112" s="500" t="str">
        <f t="shared" si="5"/>
        <v/>
      </c>
    </row>
    <row r="113" spans="2:18" hidden="1">
      <c r="B113" s="84">
        <v>103</v>
      </c>
      <c r="C113" s="498"/>
      <c r="D113" s="718">
        <f t="shared" si="3"/>
        <v>11</v>
      </c>
      <c r="E113" s="684">
        <v>44998</v>
      </c>
      <c r="F113" s="85"/>
      <c r="G113" s="85"/>
      <c r="H113" s="85"/>
      <c r="I113" s="86"/>
      <c r="J113" s="85" t="s">
        <v>81</v>
      </c>
      <c r="K113" s="85" t="s">
        <v>161</v>
      </c>
      <c r="L113" s="85" t="s">
        <v>185</v>
      </c>
      <c r="M113" s="467">
        <v>199.92359142534642</v>
      </c>
      <c r="N113" s="467"/>
      <c r="O113" s="468">
        <v>800</v>
      </c>
      <c r="P113" s="468"/>
      <c r="Q113" s="499">
        <f t="shared" si="4"/>
        <v>159938.87314027714</v>
      </c>
      <c r="R113" s="500" t="str">
        <f t="shared" si="5"/>
        <v/>
      </c>
    </row>
    <row r="114" spans="2:18" hidden="1">
      <c r="B114" s="84">
        <v>104</v>
      </c>
      <c r="C114" s="498"/>
      <c r="D114" s="718">
        <f t="shared" si="3"/>
        <v>11</v>
      </c>
      <c r="E114" s="684">
        <v>45000</v>
      </c>
      <c r="F114" s="85"/>
      <c r="G114" s="85"/>
      <c r="H114" s="85"/>
      <c r="I114" s="86"/>
      <c r="J114" s="85" t="s">
        <v>81</v>
      </c>
      <c r="K114" s="502" t="s">
        <v>77</v>
      </c>
      <c r="L114" s="85" t="s">
        <v>91</v>
      </c>
      <c r="M114" s="467">
        <v>5.8</v>
      </c>
      <c r="N114" s="467"/>
      <c r="O114" s="468">
        <v>12000</v>
      </c>
      <c r="P114" s="468"/>
      <c r="Q114" s="499">
        <f t="shared" si="4"/>
        <v>69600</v>
      </c>
      <c r="R114" s="500" t="str">
        <f t="shared" si="5"/>
        <v/>
      </c>
    </row>
    <row r="115" spans="2:18" hidden="1">
      <c r="B115" s="84">
        <v>105</v>
      </c>
      <c r="C115" s="498">
        <v>618</v>
      </c>
      <c r="D115" s="718">
        <f t="shared" si="3"/>
        <v>11</v>
      </c>
      <c r="E115" s="684">
        <v>45000</v>
      </c>
      <c r="F115" s="85" t="s">
        <v>112</v>
      </c>
      <c r="G115" s="85" t="s">
        <v>114</v>
      </c>
      <c r="H115" s="85" t="s">
        <v>114</v>
      </c>
      <c r="I115" s="86" t="s">
        <v>69</v>
      </c>
      <c r="J115" s="85" t="s">
        <v>74</v>
      </c>
      <c r="K115" s="85" t="s">
        <v>56</v>
      </c>
      <c r="L115" s="85" t="s">
        <v>91</v>
      </c>
      <c r="M115" s="467"/>
      <c r="N115" s="467">
        <v>40</v>
      </c>
      <c r="O115" s="468"/>
      <c r="P115" s="501">
        <v>800</v>
      </c>
      <c r="Q115" s="499" t="str">
        <f t="shared" si="4"/>
        <v/>
      </c>
      <c r="R115" s="500">
        <f t="shared" si="5"/>
        <v>32000</v>
      </c>
    </row>
    <row r="116" spans="2:18" hidden="1">
      <c r="B116" s="84">
        <v>106</v>
      </c>
      <c r="C116" s="498">
        <v>618</v>
      </c>
      <c r="D116" s="718">
        <f t="shared" si="3"/>
        <v>11</v>
      </c>
      <c r="E116" s="684">
        <v>45000</v>
      </c>
      <c r="F116" s="85" t="s">
        <v>112</v>
      </c>
      <c r="G116" s="85" t="s">
        <v>114</v>
      </c>
      <c r="H116" s="85" t="s">
        <v>114</v>
      </c>
      <c r="I116" s="167" t="s">
        <v>180</v>
      </c>
      <c r="J116" s="85" t="s">
        <v>74</v>
      </c>
      <c r="K116" s="85" t="s">
        <v>652</v>
      </c>
      <c r="L116" s="85" t="s">
        <v>185</v>
      </c>
      <c r="M116" s="467"/>
      <c r="N116" s="467">
        <v>299</v>
      </c>
      <c r="O116" s="468"/>
      <c r="P116" s="468">
        <v>400</v>
      </c>
      <c r="Q116" s="499" t="str">
        <f t="shared" si="4"/>
        <v/>
      </c>
      <c r="R116" s="500">
        <f t="shared" si="5"/>
        <v>119600</v>
      </c>
    </row>
    <row r="117" spans="2:18" hidden="1">
      <c r="B117" s="84">
        <v>107</v>
      </c>
      <c r="C117" s="506">
        <v>10579</v>
      </c>
      <c r="D117" s="718">
        <f t="shared" si="3"/>
        <v>11</v>
      </c>
      <c r="E117" s="684">
        <v>45001</v>
      </c>
      <c r="F117" s="85" t="s">
        <v>104</v>
      </c>
      <c r="G117" s="85" t="s">
        <v>95</v>
      </c>
      <c r="H117" s="85" t="s">
        <v>306</v>
      </c>
      <c r="I117" s="86"/>
      <c r="J117" s="85" t="s">
        <v>74</v>
      </c>
      <c r="K117" s="85" t="s">
        <v>77</v>
      </c>
      <c r="L117" s="85" t="s">
        <v>91</v>
      </c>
      <c r="M117" s="467"/>
      <c r="N117" s="467">
        <v>7</v>
      </c>
      <c r="O117" s="468"/>
      <c r="P117" s="468">
        <v>10000</v>
      </c>
      <c r="Q117" s="499" t="str">
        <f t="shared" si="4"/>
        <v/>
      </c>
      <c r="R117" s="500">
        <f t="shared" si="5"/>
        <v>70000</v>
      </c>
    </row>
    <row r="118" spans="2:18" hidden="1">
      <c r="B118" s="84">
        <v>108</v>
      </c>
      <c r="C118" s="506"/>
      <c r="D118" s="718">
        <f t="shared" si="3"/>
        <v>11</v>
      </c>
      <c r="E118" s="684">
        <v>45001</v>
      </c>
      <c r="F118" s="85"/>
      <c r="G118" s="85"/>
      <c r="H118" s="85"/>
      <c r="I118" s="86"/>
      <c r="J118" s="85" t="s">
        <v>74</v>
      </c>
      <c r="K118" s="85" t="s">
        <v>164</v>
      </c>
      <c r="L118" s="85" t="s">
        <v>165</v>
      </c>
      <c r="M118" s="467"/>
      <c r="N118" s="467">
        <v>82.5</v>
      </c>
      <c r="O118" s="468"/>
      <c r="P118" s="468">
        <f>40+19</f>
        <v>59</v>
      </c>
      <c r="Q118" s="499" t="str">
        <f t="shared" si="4"/>
        <v/>
      </c>
      <c r="R118" s="500">
        <f t="shared" si="5"/>
        <v>4867.5</v>
      </c>
    </row>
    <row r="119" spans="2:18" hidden="1">
      <c r="B119" s="84">
        <v>109</v>
      </c>
      <c r="C119" s="506"/>
      <c r="D119" s="718">
        <f t="shared" si="3"/>
        <v>11</v>
      </c>
      <c r="E119" s="684">
        <v>45003</v>
      </c>
      <c r="F119" s="85"/>
      <c r="G119" s="85"/>
      <c r="H119" s="85"/>
      <c r="I119" s="86"/>
      <c r="J119" s="85" t="s">
        <v>81</v>
      </c>
      <c r="K119" s="85" t="s">
        <v>162</v>
      </c>
      <c r="L119" s="85" t="s">
        <v>163</v>
      </c>
      <c r="M119" s="467">
        <v>17000</v>
      </c>
      <c r="N119" s="467"/>
      <c r="O119" s="468">
        <f>(507+413+551+265)/1000</f>
        <v>1.736</v>
      </c>
      <c r="P119" s="468"/>
      <c r="Q119" s="499">
        <f t="shared" si="4"/>
        <v>29512</v>
      </c>
      <c r="R119" s="500" t="str">
        <f t="shared" si="5"/>
        <v/>
      </c>
    </row>
    <row r="120" spans="2:18" hidden="1">
      <c r="B120" s="84">
        <v>110</v>
      </c>
      <c r="C120" s="506"/>
      <c r="D120" s="718">
        <f t="shared" si="3"/>
        <v>11</v>
      </c>
      <c r="E120" s="684">
        <v>45003</v>
      </c>
      <c r="F120" s="85" t="s">
        <v>277</v>
      </c>
      <c r="G120" s="85" t="s">
        <v>361</v>
      </c>
      <c r="H120" s="85" t="s">
        <v>283</v>
      </c>
      <c r="I120" s="86"/>
      <c r="J120" s="85" t="s">
        <v>74</v>
      </c>
      <c r="K120" s="85" t="s">
        <v>162</v>
      </c>
      <c r="L120" s="85" t="s">
        <v>163</v>
      </c>
      <c r="M120" s="467"/>
      <c r="N120" s="467"/>
      <c r="O120" s="468"/>
      <c r="P120" s="468">
        <v>0.11</v>
      </c>
      <c r="Q120" s="499" t="str">
        <f t="shared" si="4"/>
        <v/>
      </c>
      <c r="R120" s="500" t="str">
        <f t="shared" si="5"/>
        <v/>
      </c>
    </row>
    <row r="121" spans="2:18" hidden="1">
      <c r="B121" s="84">
        <v>111</v>
      </c>
      <c r="C121" s="506"/>
      <c r="D121" s="718">
        <f t="shared" si="3"/>
        <v>11</v>
      </c>
      <c r="E121" s="684">
        <v>45003</v>
      </c>
      <c r="F121" s="85" t="s">
        <v>113</v>
      </c>
      <c r="G121" s="85" t="s">
        <v>281</v>
      </c>
      <c r="H121" s="85" t="s">
        <v>281</v>
      </c>
      <c r="I121" s="86"/>
      <c r="J121" s="85" t="s">
        <v>74</v>
      </c>
      <c r="K121" s="85" t="s">
        <v>162</v>
      </c>
      <c r="L121" s="85" t="s">
        <v>163</v>
      </c>
      <c r="M121" s="467"/>
      <c r="N121" s="467">
        <v>42000</v>
      </c>
      <c r="O121" s="468"/>
      <c r="P121" s="468">
        <f>250/1000</f>
        <v>0.25</v>
      </c>
      <c r="Q121" s="499" t="str">
        <f t="shared" si="4"/>
        <v/>
      </c>
      <c r="R121" s="500">
        <f t="shared" si="5"/>
        <v>10500</v>
      </c>
    </row>
    <row r="122" spans="2:18" hidden="1">
      <c r="B122" s="84">
        <v>112</v>
      </c>
      <c r="C122" s="506">
        <v>11990</v>
      </c>
      <c r="D122" s="718">
        <f t="shared" si="3"/>
        <v>11</v>
      </c>
      <c r="E122" s="684">
        <v>45003</v>
      </c>
      <c r="F122" s="85" t="s">
        <v>111</v>
      </c>
      <c r="G122" s="85" t="s">
        <v>426</v>
      </c>
      <c r="H122" s="85" t="s">
        <v>426</v>
      </c>
      <c r="I122" s="86"/>
      <c r="J122" s="85" t="s">
        <v>74</v>
      </c>
      <c r="K122" s="85" t="s">
        <v>77</v>
      </c>
      <c r="L122" s="85" t="s">
        <v>91</v>
      </c>
      <c r="M122" s="467"/>
      <c r="N122" s="467">
        <v>7</v>
      </c>
      <c r="O122" s="468"/>
      <c r="P122" s="468">
        <v>40</v>
      </c>
      <c r="Q122" s="499" t="str">
        <f t="shared" si="4"/>
        <v/>
      </c>
      <c r="R122" s="500">
        <f t="shared" si="5"/>
        <v>280</v>
      </c>
    </row>
    <row r="123" spans="2:18" hidden="1">
      <c r="B123" s="84">
        <v>113</v>
      </c>
      <c r="C123" s="506"/>
      <c r="D123" s="718">
        <f t="shared" si="3"/>
        <v>11</v>
      </c>
      <c r="E123" s="684">
        <v>45003</v>
      </c>
      <c r="F123" s="85"/>
      <c r="G123" s="85"/>
      <c r="H123" s="85"/>
      <c r="I123" s="86"/>
      <c r="J123" s="85" t="s">
        <v>81</v>
      </c>
      <c r="K123" s="85" t="s">
        <v>77</v>
      </c>
      <c r="L123" s="85" t="s">
        <v>91</v>
      </c>
      <c r="M123" s="467">
        <v>5.8</v>
      </c>
      <c r="N123" s="467"/>
      <c r="O123" s="468">
        <v>6000</v>
      </c>
      <c r="P123" s="468"/>
      <c r="Q123" s="499">
        <f t="shared" si="4"/>
        <v>34800</v>
      </c>
      <c r="R123" s="500" t="str">
        <f t="shared" si="5"/>
        <v/>
      </c>
    </row>
    <row r="124" spans="2:18" hidden="1">
      <c r="B124" s="84">
        <v>114</v>
      </c>
      <c r="C124" s="506"/>
      <c r="D124" s="718">
        <f t="shared" si="3"/>
        <v>12</v>
      </c>
      <c r="E124" s="684">
        <v>45005</v>
      </c>
      <c r="F124" s="85"/>
      <c r="G124" s="85"/>
      <c r="H124" s="85"/>
      <c r="I124" s="86"/>
      <c r="J124" s="85" t="s">
        <v>81</v>
      </c>
      <c r="K124" s="85" t="s">
        <v>652</v>
      </c>
      <c r="L124" s="85" t="s">
        <v>185</v>
      </c>
      <c r="M124" s="467">
        <v>247.18544827008316</v>
      </c>
      <c r="N124" s="467"/>
      <c r="O124" s="468">
        <v>200</v>
      </c>
      <c r="P124" s="468"/>
      <c r="Q124" s="499">
        <f t="shared" si="4"/>
        <v>49437.089654016629</v>
      </c>
      <c r="R124" s="500" t="str">
        <f t="shared" si="5"/>
        <v/>
      </c>
    </row>
    <row r="125" spans="2:18" hidden="1">
      <c r="B125" s="84">
        <v>115</v>
      </c>
      <c r="C125" s="506"/>
      <c r="D125" s="718">
        <f t="shared" si="3"/>
        <v>12</v>
      </c>
      <c r="E125" s="684">
        <v>45005</v>
      </c>
      <c r="F125" s="85"/>
      <c r="G125" s="85"/>
      <c r="H125" s="85"/>
      <c r="I125" s="86"/>
      <c r="J125" s="85" t="s">
        <v>81</v>
      </c>
      <c r="K125" s="85" t="s">
        <v>161</v>
      </c>
      <c r="L125" s="85" t="s">
        <v>185</v>
      </c>
      <c r="M125" s="467">
        <v>199.92359142534642</v>
      </c>
      <c r="N125" s="467"/>
      <c r="O125" s="468">
        <v>200</v>
      </c>
      <c r="P125" s="468"/>
      <c r="Q125" s="499">
        <f t="shared" si="4"/>
        <v>39984.718285069284</v>
      </c>
      <c r="R125" s="500" t="str">
        <f t="shared" si="5"/>
        <v/>
      </c>
    </row>
    <row r="126" spans="2:18" hidden="1">
      <c r="B126" s="84">
        <v>116</v>
      </c>
      <c r="C126" s="506"/>
      <c r="D126" s="718">
        <f t="shared" si="3"/>
        <v>12</v>
      </c>
      <c r="E126" s="684">
        <v>45006</v>
      </c>
      <c r="F126" s="85"/>
      <c r="G126" s="85"/>
      <c r="H126" s="85"/>
      <c r="I126" s="86"/>
      <c r="J126" s="85" t="s">
        <v>81</v>
      </c>
      <c r="K126" s="85" t="s">
        <v>77</v>
      </c>
      <c r="L126" s="85" t="s">
        <v>91</v>
      </c>
      <c r="M126" s="467">
        <v>5.8</v>
      </c>
      <c r="N126" s="467"/>
      <c r="O126" s="468">
        <v>12000</v>
      </c>
      <c r="P126" s="468"/>
      <c r="Q126" s="499">
        <f t="shared" si="4"/>
        <v>69600</v>
      </c>
      <c r="R126" s="500" t="str">
        <f t="shared" si="5"/>
        <v/>
      </c>
    </row>
    <row r="127" spans="2:18" hidden="1">
      <c r="B127" s="84">
        <v>117</v>
      </c>
      <c r="C127" s="506">
        <v>10580</v>
      </c>
      <c r="D127" s="718">
        <f t="shared" si="3"/>
        <v>12</v>
      </c>
      <c r="E127" s="684">
        <v>45006</v>
      </c>
      <c r="F127" s="85" t="s">
        <v>104</v>
      </c>
      <c r="G127" s="85" t="s">
        <v>95</v>
      </c>
      <c r="H127" s="85" t="s">
        <v>306</v>
      </c>
      <c r="I127" s="86"/>
      <c r="J127" s="85" t="s">
        <v>74</v>
      </c>
      <c r="K127" s="85" t="s">
        <v>77</v>
      </c>
      <c r="L127" s="85" t="s">
        <v>91</v>
      </c>
      <c r="M127" s="467"/>
      <c r="N127" s="467">
        <v>7</v>
      </c>
      <c r="O127" s="468"/>
      <c r="P127" s="468">
        <v>10000</v>
      </c>
      <c r="Q127" s="499" t="str">
        <f t="shared" si="4"/>
        <v/>
      </c>
      <c r="R127" s="500">
        <f t="shared" si="5"/>
        <v>70000</v>
      </c>
    </row>
    <row r="128" spans="2:18" hidden="1">
      <c r="B128" s="84">
        <v>118</v>
      </c>
      <c r="C128" s="506"/>
      <c r="D128" s="718">
        <f t="shared" si="3"/>
        <v>12</v>
      </c>
      <c r="E128" s="684">
        <v>45007</v>
      </c>
      <c r="F128" s="85"/>
      <c r="G128" s="85"/>
      <c r="H128" s="85"/>
      <c r="I128" s="86"/>
      <c r="J128" s="85" t="s">
        <v>81</v>
      </c>
      <c r="K128" s="85" t="s">
        <v>77</v>
      </c>
      <c r="L128" s="85" t="s">
        <v>91</v>
      </c>
      <c r="M128" s="467">
        <v>5.8</v>
      </c>
      <c r="N128" s="467"/>
      <c r="O128" s="468">
        <v>10000</v>
      </c>
      <c r="P128" s="468"/>
      <c r="Q128" s="499">
        <f t="shared" si="4"/>
        <v>58000</v>
      </c>
      <c r="R128" s="500" t="str">
        <f t="shared" si="5"/>
        <v/>
      </c>
    </row>
    <row r="129" spans="2:18" hidden="1">
      <c r="B129" s="84">
        <v>119</v>
      </c>
      <c r="C129" s="506">
        <v>10583</v>
      </c>
      <c r="D129" s="718">
        <f t="shared" si="3"/>
        <v>12</v>
      </c>
      <c r="E129" s="684">
        <v>45007</v>
      </c>
      <c r="F129" s="85" t="s">
        <v>105</v>
      </c>
      <c r="G129" s="85" t="s">
        <v>9</v>
      </c>
      <c r="H129" s="85" t="s">
        <v>321</v>
      </c>
      <c r="I129" s="86"/>
      <c r="J129" s="85" t="s">
        <v>74</v>
      </c>
      <c r="K129" s="85" t="s">
        <v>77</v>
      </c>
      <c r="L129" s="85" t="s">
        <v>91</v>
      </c>
      <c r="M129" s="467"/>
      <c r="N129" s="467">
        <v>7</v>
      </c>
      <c r="O129" s="468"/>
      <c r="P129" s="468">
        <v>10000</v>
      </c>
      <c r="Q129" s="499" t="str">
        <f t="shared" si="4"/>
        <v/>
      </c>
      <c r="R129" s="500">
        <f t="shared" si="5"/>
        <v>70000</v>
      </c>
    </row>
    <row r="130" spans="2:18" hidden="1">
      <c r="B130" s="84">
        <v>120</v>
      </c>
      <c r="C130" s="498">
        <v>619</v>
      </c>
      <c r="D130" s="718">
        <f t="shared" si="3"/>
        <v>12</v>
      </c>
      <c r="E130" s="684">
        <v>45008</v>
      </c>
      <c r="F130" s="85" t="s">
        <v>113</v>
      </c>
      <c r="G130" s="85" t="s">
        <v>442</v>
      </c>
      <c r="H130" s="85" t="s">
        <v>275</v>
      </c>
      <c r="I130" s="86" t="s">
        <v>71</v>
      </c>
      <c r="J130" s="85" t="s">
        <v>74</v>
      </c>
      <c r="K130" s="85" t="s">
        <v>56</v>
      </c>
      <c r="L130" s="85" t="s">
        <v>91</v>
      </c>
      <c r="M130" s="467"/>
      <c r="N130" s="467">
        <v>80</v>
      </c>
      <c r="O130" s="468"/>
      <c r="P130" s="468">
        <v>2160</v>
      </c>
      <c r="Q130" s="499" t="str">
        <f t="shared" si="4"/>
        <v/>
      </c>
      <c r="R130" s="500">
        <f t="shared" si="5"/>
        <v>172800</v>
      </c>
    </row>
    <row r="131" spans="2:18" hidden="1">
      <c r="B131" s="84">
        <v>121</v>
      </c>
      <c r="C131" s="498">
        <v>621</v>
      </c>
      <c r="D131" s="718">
        <f t="shared" si="3"/>
        <v>12</v>
      </c>
      <c r="E131" s="684">
        <v>45008</v>
      </c>
      <c r="F131" s="85" t="s">
        <v>112</v>
      </c>
      <c r="G131" s="85" t="s">
        <v>114</v>
      </c>
      <c r="H131" s="85" t="s">
        <v>114</v>
      </c>
      <c r="I131" s="167" t="s">
        <v>181</v>
      </c>
      <c r="J131" s="85" t="s">
        <v>74</v>
      </c>
      <c r="K131" s="85" t="s">
        <v>161</v>
      </c>
      <c r="L131" s="85" t="s">
        <v>185</v>
      </c>
      <c r="M131" s="467"/>
      <c r="N131" s="467">
        <v>240</v>
      </c>
      <c r="O131" s="468"/>
      <c r="P131" s="468">
        <v>200</v>
      </c>
      <c r="Q131" s="499" t="str">
        <f t="shared" si="4"/>
        <v/>
      </c>
      <c r="R131" s="500">
        <f t="shared" si="5"/>
        <v>48000</v>
      </c>
    </row>
    <row r="132" spans="2:18" hidden="1">
      <c r="B132" s="84">
        <v>122</v>
      </c>
      <c r="C132" s="498">
        <v>622</v>
      </c>
      <c r="D132" s="718">
        <f t="shared" si="3"/>
        <v>12</v>
      </c>
      <c r="E132" s="684">
        <v>45008</v>
      </c>
      <c r="F132" s="85" t="s">
        <v>112</v>
      </c>
      <c r="G132" s="85" t="s">
        <v>114</v>
      </c>
      <c r="H132" s="85" t="s">
        <v>114</v>
      </c>
      <c r="I132" s="167" t="s">
        <v>182</v>
      </c>
      <c r="J132" s="85" t="s">
        <v>74</v>
      </c>
      <c r="K132" s="85" t="s">
        <v>652</v>
      </c>
      <c r="L132" s="85" t="s">
        <v>185</v>
      </c>
      <c r="M132" s="467"/>
      <c r="N132" s="467">
        <v>299</v>
      </c>
      <c r="O132" s="468"/>
      <c r="P132" s="468">
        <v>200</v>
      </c>
      <c r="Q132" s="499" t="str">
        <f t="shared" si="4"/>
        <v/>
      </c>
      <c r="R132" s="500">
        <f t="shared" si="5"/>
        <v>59800</v>
      </c>
    </row>
    <row r="133" spans="2:18" hidden="1">
      <c r="B133" s="84">
        <v>123</v>
      </c>
      <c r="C133" s="506">
        <v>10584</v>
      </c>
      <c r="D133" s="718">
        <f t="shared" si="3"/>
        <v>12</v>
      </c>
      <c r="E133" s="684">
        <v>45009</v>
      </c>
      <c r="F133" s="85" t="s">
        <v>105</v>
      </c>
      <c r="G133" s="85" t="s">
        <v>9</v>
      </c>
      <c r="H133" s="85" t="s">
        <v>316</v>
      </c>
      <c r="I133" s="86"/>
      <c r="J133" s="85" t="s">
        <v>74</v>
      </c>
      <c r="K133" s="85" t="s">
        <v>77</v>
      </c>
      <c r="L133" s="85" t="s">
        <v>91</v>
      </c>
      <c r="M133" s="467"/>
      <c r="N133" s="467">
        <v>7</v>
      </c>
      <c r="O133" s="468"/>
      <c r="P133" s="468">
        <v>8000</v>
      </c>
      <c r="Q133" s="499" t="str">
        <f t="shared" si="4"/>
        <v/>
      </c>
      <c r="R133" s="500">
        <f t="shared" si="5"/>
        <v>56000</v>
      </c>
    </row>
    <row r="134" spans="2:18" hidden="1">
      <c r="B134" s="84">
        <v>124</v>
      </c>
      <c r="C134" s="506"/>
      <c r="D134" s="718">
        <f t="shared" si="3"/>
        <v>12</v>
      </c>
      <c r="E134" s="684">
        <v>45009</v>
      </c>
      <c r="F134" s="85"/>
      <c r="G134" s="85"/>
      <c r="H134" s="85"/>
      <c r="I134" s="86"/>
      <c r="J134" s="85" t="s">
        <v>74</v>
      </c>
      <c r="K134" s="85" t="s">
        <v>164</v>
      </c>
      <c r="L134" s="85" t="s">
        <v>165</v>
      </c>
      <c r="M134" s="467"/>
      <c r="N134" s="467">
        <v>82.5</v>
      </c>
      <c r="O134" s="468"/>
      <c r="P134" s="468">
        <f>1+40+5</f>
        <v>46</v>
      </c>
      <c r="Q134" s="499" t="str">
        <f t="shared" si="4"/>
        <v/>
      </c>
      <c r="R134" s="500">
        <f t="shared" si="5"/>
        <v>3795</v>
      </c>
    </row>
    <row r="135" spans="2:18" hidden="1">
      <c r="B135" s="84">
        <v>125</v>
      </c>
      <c r="C135" s="506"/>
      <c r="D135" s="718">
        <f t="shared" si="3"/>
        <v>12</v>
      </c>
      <c r="E135" s="684">
        <v>45010</v>
      </c>
      <c r="F135" s="85"/>
      <c r="G135" s="85"/>
      <c r="H135" s="85"/>
      <c r="I135" s="86"/>
      <c r="J135" s="85" t="s">
        <v>81</v>
      </c>
      <c r="K135" s="85" t="s">
        <v>162</v>
      </c>
      <c r="L135" s="85" t="s">
        <v>163</v>
      </c>
      <c r="M135" s="467">
        <v>17000</v>
      </c>
      <c r="N135" s="467"/>
      <c r="O135" s="468">
        <f>(460+338+375+215)/1000</f>
        <v>1.3879999999999999</v>
      </c>
      <c r="P135" s="468"/>
      <c r="Q135" s="499">
        <f t="shared" si="4"/>
        <v>23596</v>
      </c>
      <c r="R135" s="500" t="str">
        <f t="shared" si="5"/>
        <v/>
      </c>
    </row>
    <row r="136" spans="2:18" hidden="1">
      <c r="B136" s="84">
        <v>126</v>
      </c>
      <c r="C136" s="506"/>
      <c r="D136" s="718">
        <f t="shared" si="3"/>
        <v>12</v>
      </c>
      <c r="E136" s="684">
        <v>45010</v>
      </c>
      <c r="F136" s="85"/>
      <c r="G136" s="85"/>
      <c r="H136" s="85"/>
      <c r="I136" s="86"/>
      <c r="J136" s="85" t="s">
        <v>74</v>
      </c>
      <c r="K136" s="85" t="s">
        <v>162</v>
      </c>
      <c r="L136" s="85" t="s">
        <v>163</v>
      </c>
      <c r="M136" s="467"/>
      <c r="N136" s="467">
        <v>25000</v>
      </c>
      <c r="O136" s="468"/>
      <c r="P136" s="468">
        <f>(225+95+150+175)/1000</f>
        <v>0.64500000000000002</v>
      </c>
      <c r="Q136" s="499" t="str">
        <f t="shared" si="4"/>
        <v/>
      </c>
      <c r="R136" s="500">
        <f t="shared" si="5"/>
        <v>16125</v>
      </c>
    </row>
    <row r="137" spans="2:18" hidden="1">
      <c r="B137" s="84">
        <v>127</v>
      </c>
      <c r="C137" s="506"/>
      <c r="D137" s="718">
        <f t="shared" si="3"/>
        <v>12</v>
      </c>
      <c r="E137" s="684">
        <v>45010</v>
      </c>
      <c r="F137" s="85" t="s">
        <v>113</v>
      </c>
      <c r="G137" s="85" t="s">
        <v>279</v>
      </c>
      <c r="H137" s="85" t="s">
        <v>279</v>
      </c>
      <c r="I137" s="86"/>
      <c r="J137" s="85" t="s">
        <v>74</v>
      </c>
      <c r="K137" s="85" t="s">
        <v>162</v>
      </c>
      <c r="L137" s="85" t="s">
        <v>163</v>
      </c>
      <c r="M137" s="467"/>
      <c r="N137" s="467">
        <v>25000</v>
      </c>
      <c r="O137" s="468"/>
      <c r="P137" s="504">
        <v>0.8</v>
      </c>
      <c r="Q137" s="499" t="str">
        <f t="shared" si="4"/>
        <v/>
      </c>
      <c r="R137" s="500">
        <f t="shared" si="5"/>
        <v>20000</v>
      </c>
    </row>
    <row r="138" spans="2:18" hidden="1">
      <c r="B138" s="84">
        <v>128</v>
      </c>
      <c r="C138" s="506"/>
      <c r="D138" s="718">
        <f t="shared" si="3"/>
        <v>12</v>
      </c>
      <c r="E138" s="684">
        <v>45010</v>
      </c>
      <c r="F138" s="85" t="s">
        <v>113</v>
      </c>
      <c r="G138" s="85" t="s">
        <v>280</v>
      </c>
      <c r="H138" s="85" t="s">
        <v>280</v>
      </c>
      <c r="I138" s="86"/>
      <c r="J138" s="85" t="s">
        <v>74</v>
      </c>
      <c r="K138" s="85" t="s">
        <v>162</v>
      </c>
      <c r="L138" s="85" t="s">
        <v>163</v>
      </c>
      <c r="M138" s="467"/>
      <c r="N138" s="467">
        <v>42000</v>
      </c>
      <c r="O138" s="468"/>
      <c r="P138" s="468">
        <f>250/1000</f>
        <v>0.25</v>
      </c>
      <c r="Q138" s="499" t="str">
        <f t="shared" si="4"/>
        <v/>
      </c>
      <c r="R138" s="500">
        <f t="shared" si="5"/>
        <v>10500</v>
      </c>
    </row>
    <row r="139" spans="2:18" hidden="1">
      <c r="B139" s="84">
        <v>129</v>
      </c>
      <c r="C139" s="498">
        <v>620</v>
      </c>
      <c r="D139" s="718">
        <f t="shared" ref="D139:D202" si="6">WEEKNUM(E139,21)</f>
        <v>13</v>
      </c>
      <c r="E139" s="684">
        <v>45012</v>
      </c>
      <c r="F139" s="85" t="s">
        <v>112</v>
      </c>
      <c r="G139" s="85" t="s">
        <v>114</v>
      </c>
      <c r="H139" s="85" t="s">
        <v>114</v>
      </c>
      <c r="I139" s="86" t="s">
        <v>72</v>
      </c>
      <c r="J139" s="85" t="s">
        <v>74</v>
      </c>
      <c r="K139" s="85" t="s">
        <v>56</v>
      </c>
      <c r="L139" s="85" t="s">
        <v>91</v>
      </c>
      <c r="M139" s="467"/>
      <c r="N139" s="467">
        <v>40</v>
      </c>
      <c r="O139" s="468"/>
      <c r="P139" s="501">
        <v>800</v>
      </c>
      <c r="Q139" s="499" t="str">
        <f t="shared" ref="Q139:Q202" si="7">IF((M139*O139)&lt;=0,"",(M139*O139))</f>
        <v/>
      </c>
      <c r="R139" s="500">
        <f t="shared" ref="R139:R202" si="8">IF((N139*P139)&lt;=0,"",(N139*P139))</f>
        <v>32000</v>
      </c>
    </row>
    <row r="140" spans="2:18" hidden="1">
      <c r="B140" s="84">
        <v>130</v>
      </c>
      <c r="C140" s="506"/>
      <c r="D140" s="718">
        <f t="shared" si="6"/>
        <v>13</v>
      </c>
      <c r="E140" s="684">
        <v>45012</v>
      </c>
      <c r="F140" s="85"/>
      <c r="G140" s="85"/>
      <c r="H140" s="85"/>
      <c r="I140" s="86"/>
      <c r="J140" s="85" t="s">
        <v>81</v>
      </c>
      <c r="K140" s="85" t="s">
        <v>56</v>
      </c>
      <c r="L140" s="85" t="s">
        <v>91</v>
      </c>
      <c r="M140" s="467">
        <v>27.769467619047621</v>
      </c>
      <c r="N140" s="467"/>
      <c r="O140" s="468">
        <v>2000</v>
      </c>
      <c r="P140" s="468"/>
      <c r="Q140" s="499">
        <f t="shared" si="7"/>
        <v>55538.93523809524</v>
      </c>
      <c r="R140" s="500" t="str">
        <f t="shared" si="8"/>
        <v/>
      </c>
    </row>
    <row r="141" spans="2:18" hidden="1">
      <c r="B141" s="84">
        <v>131</v>
      </c>
      <c r="C141" s="506"/>
      <c r="D141" s="718">
        <f t="shared" si="6"/>
        <v>13</v>
      </c>
      <c r="E141" s="684">
        <v>45012</v>
      </c>
      <c r="F141" s="85"/>
      <c r="G141" s="85"/>
      <c r="H141" s="85"/>
      <c r="I141" s="86"/>
      <c r="J141" s="85" t="s">
        <v>81</v>
      </c>
      <c r="K141" s="85" t="s">
        <v>77</v>
      </c>
      <c r="L141" s="85" t="s">
        <v>91</v>
      </c>
      <c r="M141" s="467">
        <v>5.8</v>
      </c>
      <c r="N141" s="467"/>
      <c r="O141" s="468">
        <v>10000</v>
      </c>
      <c r="P141" s="468"/>
      <c r="Q141" s="499">
        <f t="shared" si="7"/>
        <v>58000</v>
      </c>
      <c r="R141" s="500" t="str">
        <f t="shared" si="8"/>
        <v/>
      </c>
    </row>
    <row r="142" spans="2:18" hidden="1">
      <c r="B142" s="84">
        <v>132</v>
      </c>
      <c r="C142" s="506">
        <v>10588</v>
      </c>
      <c r="D142" s="718">
        <f t="shared" si="6"/>
        <v>13</v>
      </c>
      <c r="E142" s="684">
        <v>45013</v>
      </c>
      <c r="F142" s="85" t="s">
        <v>105</v>
      </c>
      <c r="G142" s="85" t="s">
        <v>9</v>
      </c>
      <c r="H142" s="85" t="s">
        <v>321</v>
      </c>
      <c r="I142" s="86"/>
      <c r="J142" s="85" t="s">
        <v>74</v>
      </c>
      <c r="K142" s="85" t="s">
        <v>77</v>
      </c>
      <c r="L142" s="85" t="s">
        <v>91</v>
      </c>
      <c r="M142" s="467"/>
      <c r="N142" s="467">
        <v>7</v>
      </c>
      <c r="O142" s="468"/>
      <c r="P142" s="468">
        <v>10100</v>
      </c>
      <c r="Q142" s="499" t="str">
        <f t="shared" si="7"/>
        <v/>
      </c>
      <c r="R142" s="500">
        <f t="shared" si="8"/>
        <v>70700</v>
      </c>
    </row>
    <row r="143" spans="2:18" hidden="1">
      <c r="B143" s="84">
        <v>133</v>
      </c>
      <c r="C143" s="506"/>
      <c r="D143" s="718">
        <f t="shared" si="6"/>
        <v>13</v>
      </c>
      <c r="E143" s="684">
        <v>45013</v>
      </c>
      <c r="F143" s="85"/>
      <c r="G143" s="85"/>
      <c r="H143" s="85"/>
      <c r="I143" s="86"/>
      <c r="J143" s="85" t="s">
        <v>74</v>
      </c>
      <c r="K143" s="85" t="s">
        <v>164</v>
      </c>
      <c r="L143" s="85" t="s">
        <v>165</v>
      </c>
      <c r="M143" s="467"/>
      <c r="N143" s="467">
        <v>82.5</v>
      </c>
      <c r="O143" s="468"/>
      <c r="P143" s="468">
        <v>38</v>
      </c>
      <c r="Q143" s="499" t="str">
        <f t="shared" si="7"/>
        <v/>
      </c>
      <c r="R143" s="500">
        <f t="shared" si="8"/>
        <v>3135</v>
      </c>
    </row>
    <row r="144" spans="2:18" hidden="1">
      <c r="B144" s="84">
        <v>134</v>
      </c>
      <c r="C144" s="498">
        <v>623</v>
      </c>
      <c r="D144" s="718">
        <f t="shared" si="6"/>
        <v>13</v>
      </c>
      <c r="E144" s="684">
        <v>45014</v>
      </c>
      <c r="F144" s="85" t="s">
        <v>113</v>
      </c>
      <c r="G144" s="85" t="s">
        <v>276</v>
      </c>
      <c r="H144" s="85" t="s">
        <v>276</v>
      </c>
      <c r="I144" s="86" t="s">
        <v>71</v>
      </c>
      <c r="J144" s="85" t="s">
        <v>74</v>
      </c>
      <c r="K144" s="85" t="s">
        <v>56</v>
      </c>
      <c r="L144" s="85" t="s">
        <v>91</v>
      </c>
      <c r="M144" s="467"/>
      <c r="N144" s="467">
        <v>80</v>
      </c>
      <c r="O144" s="468"/>
      <c r="P144" s="468">
        <v>2000</v>
      </c>
      <c r="Q144" s="499" t="str">
        <f t="shared" si="7"/>
        <v/>
      </c>
      <c r="R144" s="500">
        <f t="shared" si="8"/>
        <v>160000</v>
      </c>
    </row>
    <row r="145" spans="2:18" hidden="1">
      <c r="B145" s="84">
        <v>135</v>
      </c>
      <c r="C145" s="506"/>
      <c r="D145" s="718">
        <f t="shared" si="6"/>
        <v>13</v>
      </c>
      <c r="E145" s="684">
        <v>45016</v>
      </c>
      <c r="F145" s="85"/>
      <c r="G145" s="85"/>
      <c r="H145" s="85"/>
      <c r="I145" s="86"/>
      <c r="J145" s="85" t="s">
        <v>81</v>
      </c>
      <c r="K145" s="85" t="s">
        <v>162</v>
      </c>
      <c r="L145" s="85" t="s">
        <v>163</v>
      </c>
      <c r="M145" s="467">
        <v>17000</v>
      </c>
      <c r="N145" s="467"/>
      <c r="O145" s="468">
        <f>(500+410+510+267)/1000</f>
        <v>1.6870000000000001</v>
      </c>
      <c r="P145" s="468"/>
      <c r="Q145" s="499">
        <f t="shared" si="7"/>
        <v>28679</v>
      </c>
      <c r="R145" s="500" t="str">
        <f t="shared" si="8"/>
        <v/>
      </c>
    </row>
    <row r="146" spans="2:18" hidden="1">
      <c r="B146" s="84">
        <v>136</v>
      </c>
      <c r="C146" s="506"/>
      <c r="D146" s="718">
        <f t="shared" si="6"/>
        <v>13</v>
      </c>
      <c r="E146" s="684">
        <v>45016</v>
      </c>
      <c r="F146" s="85" t="s">
        <v>277</v>
      </c>
      <c r="G146" s="85" t="s">
        <v>361</v>
      </c>
      <c r="H146" s="85" t="s">
        <v>283</v>
      </c>
      <c r="I146" s="86"/>
      <c r="J146" s="85" t="s">
        <v>74</v>
      </c>
      <c r="K146" s="85" t="s">
        <v>162</v>
      </c>
      <c r="L146" s="85" t="s">
        <v>163</v>
      </c>
      <c r="M146" s="467"/>
      <c r="N146" s="467"/>
      <c r="O146" s="468"/>
      <c r="P146" s="468">
        <v>0.11</v>
      </c>
      <c r="Q146" s="499" t="str">
        <f t="shared" si="7"/>
        <v/>
      </c>
      <c r="R146" s="500" t="str">
        <f t="shared" si="8"/>
        <v/>
      </c>
    </row>
    <row r="147" spans="2:18" hidden="1">
      <c r="B147" s="84">
        <v>137</v>
      </c>
      <c r="C147" s="506"/>
      <c r="D147" s="718">
        <f t="shared" si="6"/>
        <v>13</v>
      </c>
      <c r="E147" s="684">
        <v>45016</v>
      </c>
      <c r="F147" s="85"/>
      <c r="G147" s="85"/>
      <c r="H147" s="85"/>
      <c r="I147" s="86"/>
      <c r="J147" s="85" t="s">
        <v>74</v>
      </c>
      <c r="K147" s="85" t="s">
        <v>162</v>
      </c>
      <c r="L147" s="85" t="s">
        <v>163</v>
      </c>
      <c r="M147" s="467"/>
      <c r="N147" s="467">
        <v>25000</v>
      </c>
      <c r="O147" s="468"/>
      <c r="P147" s="468">
        <f>(150+275+50+50+150+390+100)/1000</f>
        <v>1.165</v>
      </c>
      <c r="Q147" s="499" t="str">
        <f t="shared" si="7"/>
        <v/>
      </c>
      <c r="R147" s="500">
        <f t="shared" si="8"/>
        <v>29125</v>
      </c>
    </row>
    <row r="148" spans="2:18" hidden="1">
      <c r="B148" s="84">
        <v>138</v>
      </c>
      <c r="C148" s="506"/>
      <c r="D148" s="718">
        <f t="shared" si="6"/>
        <v>13</v>
      </c>
      <c r="E148" s="684">
        <v>45016</v>
      </c>
      <c r="F148" s="85" t="s">
        <v>113</v>
      </c>
      <c r="G148" s="85" t="s">
        <v>281</v>
      </c>
      <c r="H148" s="85" t="s">
        <v>281</v>
      </c>
      <c r="I148" s="86"/>
      <c r="J148" s="85" t="s">
        <v>74</v>
      </c>
      <c r="K148" s="85" t="s">
        <v>162</v>
      </c>
      <c r="L148" s="85" t="s">
        <v>163</v>
      </c>
      <c r="M148" s="467"/>
      <c r="N148" s="467">
        <v>42000</v>
      </c>
      <c r="O148" s="468"/>
      <c r="P148" s="468">
        <f>250/1000</f>
        <v>0.25</v>
      </c>
      <c r="Q148" s="499" t="str">
        <f t="shared" si="7"/>
        <v/>
      </c>
      <c r="R148" s="500">
        <f t="shared" si="8"/>
        <v>10500</v>
      </c>
    </row>
    <row r="149" spans="2:18" hidden="1">
      <c r="B149" s="84">
        <v>139</v>
      </c>
      <c r="C149" s="506" t="s">
        <v>421</v>
      </c>
      <c r="D149" s="718">
        <f t="shared" si="6"/>
        <v>13</v>
      </c>
      <c r="E149" s="684">
        <v>45016</v>
      </c>
      <c r="F149" s="85"/>
      <c r="G149" s="85"/>
      <c r="H149" s="85"/>
      <c r="I149" s="86"/>
      <c r="J149" s="85" t="s">
        <v>74</v>
      </c>
      <c r="K149" s="85" t="s">
        <v>85</v>
      </c>
      <c r="L149" s="85" t="s">
        <v>91</v>
      </c>
      <c r="M149" s="467"/>
      <c r="N149" s="467">
        <v>2</v>
      </c>
      <c r="O149" s="468"/>
      <c r="P149" s="468">
        <f>11140+11090+10980+10880</f>
        <v>44090</v>
      </c>
      <c r="Q149" s="499" t="str">
        <f t="shared" si="7"/>
        <v/>
      </c>
      <c r="R149" s="500">
        <f t="shared" si="8"/>
        <v>88180</v>
      </c>
    </row>
    <row r="150" spans="2:18" hidden="1">
      <c r="B150" s="84">
        <v>140</v>
      </c>
      <c r="C150" s="506"/>
      <c r="D150" s="718">
        <f t="shared" si="6"/>
        <v>13</v>
      </c>
      <c r="E150" s="684">
        <v>45016</v>
      </c>
      <c r="F150" s="85"/>
      <c r="G150" s="85"/>
      <c r="H150" s="85"/>
      <c r="I150" s="86"/>
      <c r="J150" s="85" t="s">
        <v>81</v>
      </c>
      <c r="K150" s="85" t="s">
        <v>87</v>
      </c>
      <c r="L150" s="85" t="s">
        <v>91</v>
      </c>
      <c r="M150" s="467">
        <v>0.75</v>
      </c>
      <c r="N150" s="467"/>
      <c r="O150" s="468">
        <v>14000</v>
      </c>
      <c r="P150" s="468"/>
      <c r="Q150" s="499">
        <f t="shared" si="7"/>
        <v>10500</v>
      </c>
      <c r="R150" s="500" t="str">
        <f t="shared" si="8"/>
        <v/>
      </c>
    </row>
    <row r="151" spans="2:18" hidden="1">
      <c r="B151" s="84">
        <v>141</v>
      </c>
      <c r="C151" s="506">
        <v>10599</v>
      </c>
      <c r="D151" s="718">
        <f t="shared" si="6"/>
        <v>13</v>
      </c>
      <c r="E151" s="684">
        <v>45016</v>
      </c>
      <c r="F151" s="85" t="s">
        <v>440</v>
      </c>
      <c r="G151" s="85" t="s">
        <v>441</v>
      </c>
      <c r="H151" s="85" t="s">
        <v>91</v>
      </c>
      <c r="I151" s="86"/>
      <c r="J151" s="85" t="s">
        <v>74</v>
      </c>
      <c r="K151" s="85" t="s">
        <v>87</v>
      </c>
      <c r="L151" s="85" t="s">
        <v>91</v>
      </c>
      <c r="M151" s="467"/>
      <c r="N151" s="467"/>
      <c r="O151" s="468"/>
      <c r="P151" s="505">
        <v>2250</v>
      </c>
      <c r="Q151" s="499" t="str">
        <f t="shared" si="7"/>
        <v/>
      </c>
      <c r="R151" s="500" t="str">
        <f t="shared" si="8"/>
        <v/>
      </c>
    </row>
    <row r="152" spans="2:18" hidden="1">
      <c r="B152" s="84">
        <v>142</v>
      </c>
      <c r="C152" s="506" t="s">
        <v>425</v>
      </c>
      <c r="D152" s="718">
        <f t="shared" si="6"/>
        <v>13</v>
      </c>
      <c r="E152" s="684">
        <v>45016</v>
      </c>
      <c r="F152" s="85" t="s">
        <v>93</v>
      </c>
      <c r="G152" s="85" t="s">
        <v>8</v>
      </c>
      <c r="H152" s="85" t="s">
        <v>298</v>
      </c>
      <c r="I152" s="86"/>
      <c r="J152" s="85" t="s">
        <v>74</v>
      </c>
      <c r="K152" s="85" t="s">
        <v>87</v>
      </c>
      <c r="L152" s="85" t="s">
        <v>91</v>
      </c>
      <c r="M152" s="467"/>
      <c r="N152" s="467">
        <v>1.2</v>
      </c>
      <c r="O152" s="468"/>
      <c r="P152" s="468">
        <v>8000</v>
      </c>
      <c r="Q152" s="499" t="str">
        <f t="shared" si="7"/>
        <v/>
      </c>
      <c r="R152" s="500">
        <f t="shared" si="8"/>
        <v>9600</v>
      </c>
    </row>
    <row r="153" spans="2:18" hidden="1">
      <c r="B153" s="84">
        <v>143</v>
      </c>
      <c r="C153" s="506">
        <v>10590</v>
      </c>
      <c r="D153" s="718">
        <f t="shared" si="6"/>
        <v>13</v>
      </c>
      <c r="E153" s="684">
        <v>45017</v>
      </c>
      <c r="F153" s="85" t="s">
        <v>104</v>
      </c>
      <c r="G153" s="85" t="s">
        <v>95</v>
      </c>
      <c r="H153" s="85" t="s">
        <v>307</v>
      </c>
      <c r="I153" s="86"/>
      <c r="J153" s="85" t="s">
        <v>74</v>
      </c>
      <c r="K153" s="85" t="s">
        <v>77</v>
      </c>
      <c r="L153" s="85" t="s">
        <v>91</v>
      </c>
      <c r="M153" s="467"/>
      <c r="N153" s="467">
        <v>7</v>
      </c>
      <c r="O153" s="468"/>
      <c r="P153" s="468">
        <v>8000</v>
      </c>
      <c r="Q153" s="499" t="str">
        <f t="shared" si="7"/>
        <v/>
      </c>
      <c r="R153" s="500">
        <f t="shared" si="8"/>
        <v>56000</v>
      </c>
    </row>
    <row r="154" spans="2:18" hidden="1">
      <c r="B154" s="84">
        <v>144</v>
      </c>
      <c r="C154" s="498"/>
      <c r="D154" s="718">
        <f t="shared" si="6"/>
        <v>13</v>
      </c>
      <c r="E154" s="684">
        <v>45018</v>
      </c>
      <c r="F154" s="85" t="s">
        <v>112</v>
      </c>
      <c r="G154" s="85" t="s">
        <v>114</v>
      </c>
      <c r="H154" s="85" t="s">
        <v>114</v>
      </c>
      <c r="I154" s="86"/>
      <c r="J154" s="85" t="s">
        <v>74</v>
      </c>
      <c r="K154" s="85" t="s">
        <v>161</v>
      </c>
      <c r="L154" s="85" t="s">
        <v>185</v>
      </c>
      <c r="M154" s="467"/>
      <c r="N154" s="467">
        <v>240</v>
      </c>
      <c r="O154" s="468"/>
      <c r="P154" s="468">
        <v>400</v>
      </c>
      <c r="Q154" s="499" t="str">
        <f t="shared" si="7"/>
        <v/>
      </c>
      <c r="R154" s="500">
        <f t="shared" si="8"/>
        <v>96000</v>
      </c>
    </row>
    <row r="155" spans="2:18" hidden="1">
      <c r="B155" s="84">
        <v>145</v>
      </c>
      <c r="C155" s="506"/>
      <c r="D155" s="718">
        <f t="shared" si="6"/>
        <v>14</v>
      </c>
      <c r="E155" s="684">
        <v>45019</v>
      </c>
      <c r="F155" s="85"/>
      <c r="G155" s="85"/>
      <c r="H155" s="85"/>
      <c r="I155" s="86"/>
      <c r="J155" s="85" t="s">
        <v>81</v>
      </c>
      <c r="K155" s="85" t="s">
        <v>56</v>
      </c>
      <c r="L155" s="85" t="s">
        <v>91</v>
      </c>
      <c r="M155" s="467">
        <v>27.769467619047621</v>
      </c>
      <c r="N155" s="467"/>
      <c r="O155" s="468">
        <v>2000</v>
      </c>
      <c r="P155" s="468"/>
      <c r="Q155" s="499">
        <f t="shared" si="7"/>
        <v>55538.93523809524</v>
      </c>
      <c r="R155" s="500" t="str">
        <f t="shared" si="8"/>
        <v/>
      </c>
    </row>
    <row r="156" spans="2:18" hidden="1">
      <c r="B156" s="84">
        <v>146</v>
      </c>
      <c r="C156" s="506"/>
      <c r="D156" s="718">
        <f t="shared" si="6"/>
        <v>14</v>
      </c>
      <c r="E156" s="684">
        <v>45019</v>
      </c>
      <c r="F156" s="85"/>
      <c r="G156" s="85"/>
      <c r="H156" s="85"/>
      <c r="I156" s="86"/>
      <c r="J156" s="85" t="s">
        <v>81</v>
      </c>
      <c r="K156" s="85" t="s">
        <v>77</v>
      </c>
      <c r="L156" s="85" t="s">
        <v>91</v>
      </c>
      <c r="M156" s="467">
        <v>5.8</v>
      </c>
      <c r="N156" s="467"/>
      <c r="O156" s="468">
        <v>26000</v>
      </c>
      <c r="P156" s="468"/>
      <c r="Q156" s="499">
        <f t="shared" si="7"/>
        <v>150800</v>
      </c>
      <c r="R156" s="500" t="str">
        <f t="shared" si="8"/>
        <v/>
      </c>
    </row>
    <row r="157" spans="2:18" hidden="1">
      <c r="B157" s="84">
        <v>147</v>
      </c>
      <c r="C157" s="498">
        <v>624</v>
      </c>
      <c r="D157" s="718">
        <f t="shared" si="6"/>
        <v>14</v>
      </c>
      <c r="E157" s="684">
        <v>45019</v>
      </c>
      <c r="F157" s="85" t="s">
        <v>112</v>
      </c>
      <c r="G157" s="85" t="s">
        <v>114</v>
      </c>
      <c r="H157" s="85" t="s">
        <v>114</v>
      </c>
      <c r="I157" s="167" t="s">
        <v>183</v>
      </c>
      <c r="J157" s="85" t="s">
        <v>74</v>
      </c>
      <c r="K157" s="85" t="s">
        <v>652</v>
      </c>
      <c r="L157" s="85" t="s">
        <v>185</v>
      </c>
      <c r="M157" s="467"/>
      <c r="N157" s="467">
        <v>299</v>
      </c>
      <c r="O157" s="468"/>
      <c r="P157" s="468">
        <v>800</v>
      </c>
      <c r="Q157" s="499" t="str">
        <f t="shared" si="7"/>
        <v/>
      </c>
      <c r="R157" s="500">
        <f t="shared" si="8"/>
        <v>239200</v>
      </c>
    </row>
    <row r="158" spans="2:18" hidden="1">
      <c r="B158" s="84">
        <v>148</v>
      </c>
      <c r="C158" s="498">
        <v>625</v>
      </c>
      <c r="D158" s="718">
        <f t="shared" si="6"/>
        <v>14</v>
      </c>
      <c r="E158" s="684">
        <v>45019</v>
      </c>
      <c r="F158" s="85" t="s">
        <v>112</v>
      </c>
      <c r="G158" s="85" t="s">
        <v>114</v>
      </c>
      <c r="H158" s="85" t="s">
        <v>114</v>
      </c>
      <c r="I158" s="167" t="s">
        <v>184</v>
      </c>
      <c r="J158" s="85" t="s">
        <v>74</v>
      </c>
      <c r="K158" s="85" t="s">
        <v>161</v>
      </c>
      <c r="L158" s="85" t="s">
        <v>185</v>
      </c>
      <c r="M158" s="467"/>
      <c r="N158" s="467">
        <v>240</v>
      </c>
      <c r="O158" s="468"/>
      <c r="P158" s="468">
        <v>800</v>
      </c>
      <c r="Q158" s="499" t="str">
        <f t="shared" si="7"/>
        <v/>
      </c>
      <c r="R158" s="500">
        <f t="shared" si="8"/>
        <v>192000</v>
      </c>
    </row>
    <row r="159" spans="2:18" hidden="1">
      <c r="B159" s="84">
        <v>149</v>
      </c>
      <c r="C159" s="506"/>
      <c r="D159" s="718">
        <f t="shared" si="6"/>
        <v>14</v>
      </c>
      <c r="E159" s="684">
        <v>45019</v>
      </c>
      <c r="F159" s="85"/>
      <c r="G159" s="85"/>
      <c r="H159" s="85"/>
      <c r="I159" s="86"/>
      <c r="J159" s="85" t="s">
        <v>81</v>
      </c>
      <c r="K159" s="85" t="s">
        <v>652</v>
      </c>
      <c r="L159" s="85" t="s">
        <v>185</v>
      </c>
      <c r="M159" s="467">
        <v>247.18544827008316</v>
      </c>
      <c r="N159" s="467"/>
      <c r="O159" s="468">
        <v>800</v>
      </c>
      <c r="P159" s="468"/>
      <c r="Q159" s="499">
        <f t="shared" si="7"/>
        <v>197748.35861606651</v>
      </c>
      <c r="R159" s="500" t="str">
        <f t="shared" si="8"/>
        <v/>
      </c>
    </row>
    <row r="160" spans="2:18" hidden="1">
      <c r="B160" s="84">
        <v>150</v>
      </c>
      <c r="C160" s="506">
        <v>11961</v>
      </c>
      <c r="D160" s="718">
        <f t="shared" si="6"/>
        <v>14</v>
      </c>
      <c r="E160" s="684">
        <v>45020</v>
      </c>
      <c r="F160" s="85" t="s">
        <v>108</v>
      </c>
      <c r="G160" s="85" t="s">
        <v>98</v>
      </c>
      <c r="H160" s="85" t="s">
        <v>348</v>
      </c>
      <c r="I160" s="86"/>
      <c r="J160" s="85" t="s">
        <v>74</v>
      </c>
      <c r="K160" s="85" t="s">
        <v>77</v>
      </c>
      <c r="L160" s="85" t="s">
        <v>91</v>
      </c>
      <c r="M160" s="467"/>
      <c r="N160" s="467">
        <v>7</v>
      </c>
      <c r="O160" s="468"/>
      <c r="P160" s="468">
        <v>10000</v>
      </c>
      <c r="Q160" s="499" t="str">
        <f t="shared" si="7"/>
        <v/>
      </c>
      <c r="R160" s="500">
        <f t="shared" si="8"/>
        <v>70000</v>
      </c>
    </row>
    <row r="161" spans="2:18" hidden="1">
      <c r="B161" s="84">
        <v>151</v>
      </c>
      <c r="C161" s="498">
        <v>626</v>
      </c>
      <c r="D161" s="718">
        <f t="shared" si="6"/>
        <v>14</v>
      </c>
      <c r="E161" s="684">
        <v>45021</v>
      </c>
      <c r="F161" s="85" t="s">
        <v>112</v>
      </c>
      <c r="G161" s="85" t="s">
        <v>114</v>
      </c>
      <c r="H161" s="85" t="s">
        <v>114</v>
      </c>
      <c r="I161" s="86" t="s">
        <v>73</v>
      </c>
      <c r="J161" s="85" t="s">
        <v>74</v>
      </c>
      <c r="K161" s="85" t="s">
        <v>56</v>
      </c>
      <c r="L161" s="85" t="s">
        <v>91</v>
      </c>
      <c r="M161" s="467"/>
      <c r="N161" s="467">
        <v>40</v>
      </c>
      <c r="O161" s="468"/>
      <c r="P161" s="501">
        <v>800</v>
      </c>
      <c r="Q161" s="499" t="str">
        <f t="shared" si="7"/>
        <v/>
      </c>
      <c r="R161" s="500">
        <f t="shared" si="8"/>
        <v>32000</v>
      </c>
    </row>
    <row r="162" spans="2:18" hidden="1">
      <c r="B162" s="84">
        <v>152</v>
      </c>
      <c r="C162" s="506"/>
      <c r="D162" s="718">
        <f t="shared" si="6"/>
        <v>14</v>
      </c>
      <c r="E162" s="684">
        <v>45024</v>
      </c>
      <c r="F162" s="85"/>
      <c r="G162" s="85"/>
      <c r="H162" s="85"/>
      <c r="I162" s="86"/>
      <c r="J162" s="85" t="s">
        <v>81</v>
      </c>
      <c r="K162" s="85" t="s">
        <v>162</v>
      </c>
      <c r="L162" s="85" t="s">
        <v>163</v>
      </c>
      <c r="M162" s="467">
        <v>17000</v>
      </c>
      <c r="N162" s="467"/>
      <c r="O162" s="468">
        <f>(415+325+280+510)/1000</f>
        <v>1.53</v>
      </c>
      <c r="P162" s="468"/>
      <c r="Q162" s="499">
        <f t="shared" si="7"/>
        <v>26010</v>
      </c>
      <c r="R162" s="500" t="str">
        <f t="shared" si="8"/>
        <v/>
      </c>
    </row>
    <row r="163" spans="2:18" hidden="1">
      <c r="B163" s="84">
        <v>153</v>
      </c>
      <c r="C163" s="506"/>
      <c r="D163" s="718">
        <f t="shared" si="6"/>
        <v>14</v>
      </c>
      <c r="E163" s="684">
        <v>45024</v>
      </c>
      <c r="F163" s="85"/>
      <c r="G163" s="85"/>
      <c r="H163" s="85"/>
      <c r="I163" s="86"/>
      <c r="J163" s="85" t="s">
        <v>74</v>
      </c>
      <c r="K163" s="85" t="s">
        <v>162</v>
      </c>
      <c r="L163" s="85" t="s">
        <v>163</v>
      </c>
      <c r="M163" s="467"/>
      <c r="N163" s="467">
        <v>25000</v>
      </c>
      <c r="O163" s="468"/>
      <c r="P163" s="468">
        <f>(250+150+150+225+100)/1000</f>
        <v>0.875</v>
      </c>
      <c r="Q163" s="499" t="str">
        <f t="shared" si="7"/>
        <v/>
      </c>
      <c r="R163" s="500">
        <f t="shared" si="8"/>
        <v>21875</v>
      </c>
    </row>
    <row r="164" spans="2:18" hidden="1">
      <c r="B164" s="84">
        <v>154</v>
      </c>
      <c r="C164" s="506">
        <v>10596</v>
      </c>
      <c r="D164" s="718">
        <f t="shared" si="6"/>
        <v>15</v>
      </c>
      <c r="E164" s="684">
        <v>45026</v>
      </c>
      <c r="F164" s="85" t="s">
        <v>104</v>
      </c>
      <c r="G164" s="85" t="s">
        <v>95</v>
      </c>
      <c r="H164" s="85" t="s">
        <v>301</v>
      </c>
      <c r="I164" s="86"/>
      <c r="J164" s="85" t="s">
        <v>74</v>
      </c>
      <c r="K164" s="85" t="s">
        <v>77</v>
      </c>
      <c r="L164" s="85" t="s">
        <v>91</v>
      </c>
      <c r="M164" s="467"/>
      <c r="N164" s="467">
        <v>7</v>
      </c>
      <c r="O164" s="468"/>
      <c r="P164" s="468">
        <v>10000</v>
      </c>
      <c r="Q164" s="499" t="str">
        <f t="shared" si="7"/>
        <v/>
      </c>
      <c r="R164" s="500">
        <f t="shared" si="8"/>
        <v>70000</v>
      </c>
    </row>
    <row r="165" spans="2:18" hidden="1">
      <c r="B165" s="84">
        <v>155</v>
      </c>
      <c r="C165" s="506"/>
      <c r="D165" s="718">
        <f t="shared" si="6"/>
        <v>15</v>
      </c>
      <c r="E165" s="684">
        <v>45026</v>
      </c>
      <c r="F165" s="85"/>
      <c r="G165" s="85"/>
      <c r="H165" s="85"/>
      <c r="I165" s="86"/>
      <c r="J165" s="85" t="s">
        <v>81</v>
      </c>
      <c r="K165" s="85" t="s">
        <v>652</v>
      </c>
      <c r="L165" s="85" t="s">
        <v>185</v>
      </c>
      <c r="M165" s="467">
        <v>247.18544827008316</v>
      </c>
      <c r="N165" s="467"/>
      <c r="O165" s="468">
        <v>200</v>
      </c>
      <c r="P165" s="468"/>
      <c r="Q165" s="499">
        <f t="shared" si="7"/>
        <v>49437.089654016629</v>
      </c>
      <c r="R165" s="500" t="str">
        <f t="shared" si="8"/>
        <v/>
      </c>
    </row>
    <row r="166" spans="2:18" hidden="1">
      <c r="B166" s="84">
        <v>156</v>
      </c>
      <c r="C166" s="506"/>
      <c r="D166" s="718">
        <f t="shared" si="6"/>
        <v>15</v>
      </c>
      <c r="E166" s="684">
        <v>45026</v>
      </c>
      <c r="F166" s="85"/>
      <c r="G166" s="85"/>
      <c r="H166" s="85"/>
      <c r="I166" s="86"/>
      <c r="J166" s="85" t="s">
        <v>81</v>
      </c>
      <c r="K166" s="85" t="s">
        <v>161</v>
      </c>
      <c r="L166" s="85" t="s">
        <v>185</v>
      </c>
      <c r="M166" s="467">
        <v>199.92359142534642</v>
      </c>
      <c r="N166" s="467"/>
      <c r="O166" s="468">
        <v>400</v>
      </c>
      <c r="P166" s="468"/>
      <c r="Q166" s="499">
        <f t="shared" si="7"/>
        <v>79969.436570138569</v>
      </c>
      <c r="R166" s="500" t="str">
        <f t="shared" si="8"/>
        <v/>
      </c>
    </row>
    <row r="167" spans="2:18" hidden="1">
      <c r="B167" s="84">
        <v>157</v>
      </c>
      <c r="C167" s="506"/>
      <c r="D167" s="718">
        <f t="shared" si="6"/>
        <v>15</v>
      </c>
      <c r="E167" s="684">
        <v>45027</v>
      </c>
      <c r="F167" s="85"/>
      <c r="G167" s="85"/>
      <c r="H167" s="85"/>
      <c r="I167" s="86"/>
      <c r="J167" s="85" t="s">
        <v>81</v>
      </c>
      <c r="K167" s="85" t="s">
        <v>87</v>
      </c>
      <c r="L167" s="85" t="s">
        <v>91</v>
      </c>
      <c r="M167" s="467">
        <v>0.75</v>
      </c>
      <c r="N167" s="467"/>
      <c r="O167" s="468">
        <v>14000</v>
      </c>
      <c r="P167" s="468"/>
      <c r="Q167" s="499">
        <f t="shared" si="7"/>
        <v>10500</v>
      </c>
      <c r="R167" s="500" t="str">
        <f t="shared" si="8"/>
        <v/>
      </c>
    </row>
    <row r="168" spans="2:18" hidden="1">
      <c r="B168" s="84">
        <v>158</v>
      </c>
      <c r="C168" s="498">
        <v>627</v>
      </c>
      <c r="D168" s="718">
        <f t="shared" si="6"/>
        <v>15</v>
      </c>
      <c r="E168" s="684">
        <v>45028</v>
      </c>
      <c r="F168" s="85" t="s">
        <v>112</v>
      </c>
      <c r="G168" s="85" t="s">
        <v>114</v>
      </c>
      <c r="H168" s="85" t="s">
        <v>114</v>
      </c>
      <c r="I168" s="167" t="s">
        <v>428</v>
      </c>
      <c r="J168" s="85" t="s">
        <v>74</v>
      </c>
      <c r="K168" s="85" t="s">
        <v>652</v>
      </c>
      <c r="L168" s="85" t="s">
        <v>185</v>
      </c>
      <c r="M168" s="467"/>
      <c r="N168" s="467">
        <v>299</v>
      </c>
      <c r="O168" s="468"/>
      <c r="P168" s="468">
        <v>1000</v>
      </c>
      <c r="Q168" s="499" t="str">
        <f t="shared" si="7"/>
        <v/>
      </c>
      <c r="R168" s="500">
        <f t="shared" si="8"/>
        <v>299000</v>
      </c>
    </row>
    <row r="169" spans="2:18" hidden="1">
      <c r="B169" s="84">
        <v>159</v>
      </c>
      <c r="C169" s="506"/>
      <c r="D169" s="718">
        <f t="shared" si="6"/>
        <v>15</v>
      </c>
      <c r="E169" s="684">
        <v>45031</v>
      </c>
      <c r="F169" s="85"/>
      <c r="G169" s="85"/>
      <c r="H169" s="85"/>
      <c r="I169" s="86"/>
      <c r="J169" s="85" t="s">
        <v>81</v>
      </c>
      <c r="K169" s="85" t="s">
        <v>162</v>
      </c>
      <c r="L169" s="85" t="s">
        <v>163</v>
      </c>
      <c r="M169" s="467">
        <v>17000</v>
      </c>
      <c r="N169" s="467"/>
      <c r="O169" s="468">
        <f>(503+420+485+210)/1000</f>
        <v>1.6180000000000001</v>
      </c>
      <c r="P169" s="468"/>
      <c r="Q169" s="499">
        <f t="shared" si="7"/>
        <v>27506</v>
      </c>
      <c r="R169" s="500" t="str">
        <f t="shared" si="8"/>
        <v/>
      </c>
    </row>
    <row r="170" spans="2:18" hidden="1">
      <c r="B170" s="84">
        <v>160</v>
      </c>
      <c r="C170" s="506"/>
      <c r="D170" s="718">
        <f t="shared" si="6"/>
        <v>15</v>
      </c>
      <c r="E170" s="684">
        <v>45031</v>
      </c>
      <c r="F170" s="85" t="s">
        <v>277</v>
      </c>
      <c r="G170" s="85" t="s">
        <v>361</v>
      </c>
      <c r="H170" s="85" t="s">
        <v>283</v>
      </c>
      <c r="I170" s="86"/>
      <c r="J170" s="85" t="s">
        <v>74</v>
      </c>
      <c r="K170" s="85" t="s">
        <v>162</v>
      </c>
      <c r="L170" s="85" t="s">
        <v>163</v>
      </c>
      <c r="M170" s="467"/>
      <c r="N170" s="467"/>
      <c r="O170" s="468"/>
      <c r="P170" s="468">
        <v>0.11</v>
      </c>
      <c r="Q170" s="499" t="str">
        <f t="shared" si="7"/>
        <v/>
      </c>
      <c r="R170" s="500" t="str">
        <f t="shared" si="8"/>
        <v/>
      </c>
    </row>
    <row r="171" spans="2:18" hidden="1">
      <c r="B171" s="84">
        <v>161</v>
      </c>
      <c r="C171" s="506"/>
      <c r="D171" s="718">
        <f t="shared" si="6"/>
        <v>15</v>
      </c>
      <c r="E171" s="684">
        <v>45031</v>
      </c>
      <c r="F171" s="85"/>
      <c r="G171" s="85"/>
      <c r="H171" s="85"/>
      <c r="I171" s="86"/>
      <c r="J171" s="85" t="s">
        <v>74</v>
      </c>
      <c r="K171" s="85" t="s">
        <v>162</v>
      </c>
      <c r="L171" s="85" t="s">
        <v>163</v>
      </c>
      <c r="M171" s="467"/>
      <c r="N171" s="467">
        <v>25000</v>
      </c>
      <c r="O171" s="468"/>
      <c r="P171" s="468">
        <f>(350+150+175+225+95+10)/1000</f>
        <v>1.0049999999999999</v>
      </c>
      <c r="Q171" s="499" t="str">
        <f t="shared" si="7"/>
        <v/>
      </c>
      <c r="R171" s="500">
        <f t="shared" si="8"/>
        <v>25124.999999999996</v>
      </c>
    </row>
    <row r="172" spans="2:18" hidden="1">
      <c r="B172" s="84">
        <v>162</v>
      </c>
      <c r="C172" s="506"/>
      <c r="D172" s="718">
        <f t="shared" si="6"/>
        <v>15</v>
      </c>
      <c r="E172" s="684">
        <v>45031</v>
      </c>
      <c r="F172" s="85" t="s">
        <v>113</v>
      </c>
      <c r="G172" s="85" t="s">
        <v>280</v>
      </c>
      <c r="H172" s="85" t="s">
        <v>280</v>
      </c>
      <c r="I172" s="86"/>
      <c r="J172" s="85" t="s">
        <v>74</v>
      </c>
      <c r="K172" s="85" t="s">
        <v>162</v>
      </c>
      <c r="L172" s="85" t="s">
        <v>163</v>
      </c>
      <c r="M172" s="467"/>
      <c r="N172" s="467">
        <v>42000</v>
      </c>
      <c r="O172" s="468"/>
      <c r="P172" s="468">
        <f>250/1000</f>
        <v>0.25</v>
      </c>
      <c r="Q172" s="499" t="str">
        <f t="shared" si="7"/>
        <v/>
      </c>
      <c r="R172" s="500">
        <f t="shared" si="8"/>
        <v>10500</v>
      </c>
    </row>
    <row r="173" spans="2:18" hidden="1">
      <c r="B173" s="84">
        <v>163</v>
      </c>
      <c r="C173" s="506"/>
      <c r="D173" s="718">
        <f t="shared" si="6"/>
        <v>15</v>
      </c>
      <c r="E173" s="684">
        <v>45031</v>
      </c>
      <c r="F173" s="85"/>
      <c r="G173" s="85"/>
      <c r="H173" s="85"/>
      <c r="I173" s="86"/>
      <c r="J173" s="85" t="s">
        <v>81</v>
      </c>
      <c r="K173" s="85" t="s">
        <v>77</v>
      </c>
      <c r="L173" s="85" t="s">
        <v>91</v>
      </c>
      <c r="M173" s="467">
        <v>5.8</v>
      </c>
      <c r="N173" s="467"/>
      <c r="O173" s="468">
        <v>15000</v>
      </c>
      <c r="P173" s="468"/>
      <c r="Q173" s="499">
        <f t="shared" si="7"/>
        <v>87000</v>
      </c>
      <c r="R173" s="500" t="str">
        <f t="shared" si="8"/>
        <v/>
      </c>
    </row>
    <row r="174" spans="2:18" hidden="1">
      <c r="B174" s="84">
        <v>164</v>
      </c>
      <c r="C174" s="506"/>
      <c r="D174" s="718">
        <f t="shared" si="6"/>
        <v>16</v>
      </c>
      <c r="E174" s="684">
        <v>45033</v>
      </c>
      <c r="F174" s="85"/>
      <c r="G174" s="85"/>
      <c r="H174" s="85"/>
      <c r="I174" s="86"/>
      <c r="J174" s="85" t="s">
        <v>81</v>
      </c>
      <c r="K174" s="85" t="s">
        <v>652</v>
      </c>
      <c r="L174" s="85" t="s">
        <v>185</v>
      </c>
      <c r="M174" s="467">
        <v>247.18544827008316</v>
      </c>
      <c r="N174" s="467"/>
      <c r="O174" s="468">
        <v>600</v>
      </c>
      <c r="P174" s="468"/>
      <c r="Q174" s="499">
        <f t="shared" si="7"/>
        <v>148311.26896204989</v>
      </c>
      <c r="R174" s="500" t="str">
        <f t="shared" si="8"/>
        <v/>
      </c>
    </row>
    <row r="175" spans="2:18" hidden="1">
      <c r="B175" s="84">
        <v>165</v>
      </c>
      <c r="C175" s="506">
        <v>12205</v>
      </c>
      <c r="D175" s="718">
        <f t="shared" si="6"/>
        <v>16</v>
      </c>
      <c r="E175" s="684">
        <v>45034</v>
      </c>
      <c r="F175" s="85" t="s">
        <v>106</v>
      </c>
      <c r="G175" s="85" t="s">
        <v>96</v>
      </c>
      <c r="H175" s="85" t="s">
        <v>336</v>
      </c>
      <c r="I175" s="86"/>
      <c r="J175" s="85" t="s">
        <v>74</v>
      </c>
      <c r="K175" s="85" t="s">
        <v>77</v>
      </c>
      <c r="L175" s="85" t="s">
        <v>91</v>
      </c>
      <c r="M175" s="467"/>
      <c r="N175" s="467">
        <v>7</v>
      </c>
      <c r="O175" s="468"/>
      <c r="P175" s="468">
        <v>7000</v>
      </c>
      <c r="Q175" s="499" t="str">
        <f t="shared" si="7"/>
        <v/>
      </c>
      <c r="R175" s="500">
        <f t="shared" si="8"/>
        <v>49000</v>
      </c>
    </row>
    <row r="176" spans="2:18" hidden="1">
      <c r="B176" s="84">
        <v>166</v>
      </c>
      <c r="C176" s="506"/>
      <c r="D176" s="718">
        <f t="shared" si="6"/>
        <v>16</v>
      </c>
      <c r="E176" s="684">
        <v>45036</v>
      </c>
      <c r="F176" s="85"/>
      <c r="G176" s="85"/>
      <c r="H176" s="85"/>
      <c r="I176" s="86"/>
      <c r="J176" s="85" t="s">
        <v>74</v>
      </c>
      <c r="K176" s="85" t="s">
        <v>164</v>
      </c>
      <c r="L176" s="85" t="s">
        <v>165</v>
      </c>
      <c r="M176" s="467"/>
      <c r="N176" s="467"/>
      <c r="O176" s="468"/>
      <c r="P176" s="503">
        <v>1</v>
      </c>
      <c r="Q176" s="499" t="str">
        <f t="shared" si="7"/>
        <v/>
      </c>
      <c r="R176" s="500" t="str">
        <f t="shared" si="8"/>
        <v/>
      </c>
    </row>
    <row r="177" spans="2:18" hidden="1">
      <c r="B177" s="84">
        <v>167</v>
      </c>
      <c r="C177" s="498"/>
      <c r="D177" s="718">
        <f t="shared" si="6"/>
        <v>16</v>
      </c>
      <c r="E177" s="684">
        <v>45036</v>
      </c>
      <c r="F177" s="85"/>
      <c r="G177" s="85"/>
      <c r="H177" s="85"/>
      <c r="I177" s="86"/>
      <c r="J177" s="85" t="s">
        <v>74</v>
      </c>
      <c r="K177" s="85" t="s">
        <v>164</v>
      </c>
      <c r="L177" s="85" t="s">
        <v>165</v>
      </c>
      <c r="M177" s="467"/>
      <c r="N177" s="467">
        <v>82.5</v>
      </c>
      <c r="O177" s="468"/>
      <c r="P177" s="468">
        <f>40</f>
        <v>40</v>
      </c>
      <c r="Q177" s="499" t="str">
        <f t="shared" si="7"/>
        <v/>
      </c>
      <c r="R177" s="500">
        <f t="shared" si="8"/>
        <v>3300</v>
      </c>
    </row>
    <row r="178" spans="2:18" hidden="1">
      <c r="B178" s="84">
        <v>168</v>
      </c>
      <c r="C178" s="506"/>
      <c r="D178" s="718">
        <f t="shared" si="6"/>
        <v>16</v>
      </c>
      <c r="E178" s="684">
        <v>45038</v>
      </c>
      <c r="F178" s="85"/>
      <c r="G178" s="85"/>
      <c r="H178" s="85"/>
      <c r="I178" s="86"/>
      <c r="J178" s="85" t="s">
        <v>81</v>
      </c>
      <c r="K178" s="85" t="s">
        <v>162</v>
      </c>
      <c r="L178" s="85" t="s">
        <v>163</v>
      </c>
      <c r="M178" s="467">
        <v>17000</v>
      </c>
      <c r="N178" s="467"/>
      <c r="O178" s="468">
        <f>(455+350+370+290)/1000</f>
        <v>1.4650000000000001</v>
      </c>
      <c r="P178" s="468"/>
      <c r="Q178" s="499">
        <f t="shared" si="7"/>
        <v>24905</v>
      </c>
      <c r="R178" s="500" t="str">
        <f t="shared" si="8"/>
        <v/>
      </c>
    </row>
    <row r="179" spans="2:18" hidden="1">
      <c r="B179" s="84">
        <v>169</v>
      </c>
      <c r="C179" s="506"/>
      <c r="D179" s="718">
        <f t="shared" si="6"/>
        <v>16</v>
      </c>
      <c r="E179" s="684">
        <v>45038</v>
      </c>
      <c r="F179" s="85"/>
      <c r="G179" s="85"/>
      <c r="H179" s="85"/>
      <c r="I179" s="86"/>
      <c r="J179" s="85" t="s">
        <v>74</v>
      </c>
      <c r="K179" s="85" t="s">
        <v>162</v>
      </c>
      <c r="L179" s="85" t="s">
        <v>163</v>
      </c>
      <c r="M179" s="467"/>
      <c r="N179" s="467">
        <v>25000</v>
      </c>
      <c r="O179" s="468"/>
      <c r="P179" s="468">
        <f>(120+100+150+175+120)/1000</f>
        <v>0.66500000000000004</v>
      </c>
      <c r="Q179" s="499" t="str">
        <f t="shared" si="7"/>
        <v/>
      </c>
      <c r="R179" s="500">
        <f t="shared" si="8"/>
        <v>16625</v>
      </c>
    </row>
    <row r="180" spans="2:18" hidden="1">
      <c r="B180" s="84">
        <v>170</v>
      </c>
      <c r="C180" s="506"/>
      <c r="D180" s="718">
        <f t="shared" si="6"/>
        <v>16</v>
      </c>
      <c r="E180" s="684">
        <v>45038</v>
      </c>
      <c r="F180" s="85" t="s">
        <v>113</v>
      </c>
      <c r="G180" s="85" t="s">
        <v>281</v>
      </c>
      <c r="H180" s="85" t="s">
        <v>281</v>
      </c>
      <c r="I180" s="86"/>
      <c r="J180" s="85" t="s">
        <v>74</v>
      </c>
      <c r="K180" s="85" t="s">
        <v>162</v>
      </c>
      <c r="L180" s="85" t="s">
        <v>163</v>
      </c>
      <c r="M180" s="467"/>
      <c r="N180" s="467">
        <v>42000</v>
      </c>
      <c r="O180" s="468"/>
      <c r="P180" s="468">
        <f>250/1000</f>
        <v>0.25</v>
      </c>
      <c r="Q180" s="499" t="str">
        <f t="shared" si="7"/>
        <v/>
      </c>
      <c r="R180" s="500">
        <f t="shared" si="8"/>
        <v>10500</v>
      </c>
    </row>
    <row r="181" spans="2:18" hidden="1">
      <c r="B181" s="84">
        <v>171</v>
      </c>
      <c r="C181" s="506"/>
      <c r="D181" s="718">
        <f t="shared" si="6"/>
        <v>16</v>
      </c>
      <c r="E181" s="684">
        <v>45038</v>
      </c>
      <c r="F181" s="85"/>
      <c r="G181" s="85"/>
      <c r="H181" s="85"/>
      <c r="I181" s="86"/>
      <c r="J181" s="85" t="s">
        <v>81</v>
      </c>
      <c r="K181" s="85" t="s">
        <v>77</v>
      </c>
      <c r="L181" s="85" t="s">
        <v>91</v>
      </c>
      <c r="M181" s="467">
        <v>5.8</v>
      </c>
      <c r="N181" s="467"/>
      <c r="O181" s="468">
        <v>6000</v>
      </c>
      <c r="P181" s="468"/>
      <c r="Q181" s="499">
        <f t="shared" si="7"/>
        <v>34800</v>
      </c>
      <c r="R181" s="500" t="str">
        <f t="shared" si="8"/>
        <v/>
      </c>
    </row>
    <row r="182" spans="2:18" hidden="1">
      <c r="B182" s="84">
        <v>172</v>
      </c>
      <c r="C182" s="506">
        <v>12208</v>
      </c>
      <c r="D182" s="718">
        <f t="shared" si="6"/>
        <v>17</v>
      </c>
      <c r="E182" s="684">
        <v>45040</v>
      </c>
      <c r="F182" s="85" t="s">
        <v>108</v>
      </c>
      <c r="G182" s="85" t="s">
        <v>98</v>
      </c>
      <c r="H182" s="85" t="s">
        <v>348</v>
      </c>
      <c r="I182" s="86"/>
      <c r="J182" s="85" t="s">
        <v>74</v>
      </c>
      <c r="K182" s="85" t="s">
        <v>77</v>
      </c>
      <c r="L182" s="85" t="s">
        <v>91</v>
      </c>
      <c r="M182" s="467"/>
      <c r="N182" s="467">
        <v>7</v>
      </c>
      <c r="O182" s="468"/>
      <c r="P182" s="468">
        <v>10000</v>
      </c>
      <c r="Q182" s="499" t="str">
        <f t="shared" si="7"/>
        <v/>
      </c>
      <c r="R182" s="500">
        <f t="shared" si="8"/>
        <v>70000</v>
      </c>
    </row>
    <row r="183" spans="2:18" hidden="1">
      <c r="B183" s="84">
        <v>173</v>
      </c>
      <c r="C183" s="506"/>
      <c r="D183" s="718">
        <f t="shared" si="6"/>
        <v>17</v>
      </c>
      <c r="E183" s="684">
        <v>45040</v>
      </c>
      <c r="F183" s="85"/>
      <c r="G183" s="85"/>
      <c r="H183" s="85"/>
      <c r="I183" s="86"/>
      <c r="J183" s="85" t="s">
        <v>81</v>
      </c>
      <c r="K183" s="85" t="s">
        <v>652</v>
      </c>
      <c r="L183" s="85" t="s">
        <v>185</v>
      </c>
      <c r="M183" s="467">
        <v>247.18544827008316</v>
      </c>
      <c r="N183" s="467"/>
      <c r="O183" s="468">
        <v>200</v>
      </c>
      <c r="P183" s="468"/>
      <c r="Q183" s="499">
        <f t="shared" si="7"/>
        <v>49437.089654016629</v>
      </c>
      <c r="R183" s="500" t="str">
        <f t="shared" si="8"/>
        <v/>
      </c>
    </row>
    <row r="184" spans="2:18" hidden="1">
      <c r="B184" s="84">
        <v>174</v>
      </c>
      <c r="C184" s="506"/>
      <c r="D184" s="718">
        <f t="shared" si="6"/>
        <v>17</v>
      </c>
      <c r="E184" s="684">
        <v>45040</v>
      </c>
      <c r="F184" s="85"/>
      <c r="G184" s="85"/>
      <c r="H184" s="85"/>
      <c r="I184" s="86"/>
      <c r="J184" s="85" t="s">
        <v>81</v>
      </c>
      <c r="K184" s="85" t="s">
        <v>161</v>
      </c>
      <c r="L184" s="85" t="s">
        <v>185</v>
      </c>
      <c r="M184" s="467">
        <v>199.92359142534642</v>
      </c>
      <c r="N184" s="467"/>
      <c r="O184" s="468">
        <v>400</v>
      </c>
      <c r="P184" s="468"/>
      <c r="Q184" s="499">
        <f t="shared" si="7"/>
        <v>79969.436570138569</v>
      </c>
      <c r="R184" s="500" t="str">
        <f t="shared" si="8"/>
        <v/>
      </c>
    </row>
    <row r="185" spans="2:18" hidden="1">
      <c r="B185" s="84">
        <v>175</v>
      </c>
      <c r="C185" s="506">
        <v>11989</v>
      </c>
      <c r="D185" s="718">
        <f t="shared" si="6"/>
        <v>17</v>
      </c>
      <c r="E185" s="684">
        <v>45041</v>
      </c>
      <c r="F185" s="85" t="s">
        <v>105</v>
      </c>
      <c r="G185" s="85" t="s">
        <v>9</v>
      </c>
      <c r="H185" s="85" t="s">
        <v>323</v>
      </c>
      <c r="I185" s="86"/>
      <c r="J185" s="85" t="s">
        <v>74</v>
      </c>
      <c r="K185" s="85" t="s">
        <v>77</v>
      </c>
      <c r="L185" s="85" t="s">
        <v>91</v>
      </c>
      <c r="M185" s="467"/>
      <c r="N185" s="467">
        <v>7</v>
      </c>
      <c r="O185" s="468"/>
      <c r="P185" s="468">
        <v>4500</v>
      </c>
      <c r="Q185" s="499" t="str">
        <f t="shared" si="7"/>
        <v/>
      </c>
      <c r="R185" s="500">
        <f t="shared" si="8"/>
        <v>31500</v>
      </c>
    </row>
    <row r="186" spans="2:18" hidden="1">
      <c r="B186" s="84">
        <v>176</v>
      </c>
      <c r="C186" s="506"/>
      <c r="D186" s="718">
        <f t="shared" si="6"/>
        <v>17</v>
      </c>
      <c r="E186" s="684">
        <v>45041</v>
      </c>
      <c r="F186" s="85"/>
      <c r="G186" s="85"/>
      <c r="H186" s="85"/>
      <c r="I186" s="86"/>
      <c r="J186" s="85" t="s">
        <v>81</v>
      </c>
      <c r="K186" s="85" t="s">
        <v>87</v>
      </c>
      <c r="L186" s="85" t="s">
        <v>91</v>
      </c>
      <c r="M186" s="467">
        <v>0.75</v>
      </c>
      <c r="N186" s="467"/>
      <c r="O186" s="468">
        <v>14000</v>
      </c>
      <c r="P186" s="468"/>
      <c r="Q186" s="499">
        <f t="shared" si="7"/>
        <v>10500</v>
      </c>
      <c r="R186" s="500" t="str">
        <f t="shared" si="8"/>
        <v/>
      </c>
    </row>
    <row r="187" spans="2:18" hidden="1">
      <c r="B187" s="84">
        <v>177</v>
      </c>
      <c r="C187" s="498">
        <v>628</v>
      </c>
      <c r="D187" s="718">
        <f t="shared" si="6"/>
        <v>17</v>
      </c>
      <c r="E187" s="684">
        <v>45042</v>
      </c>
      <c r="F187" s="85" t="s">
        <v>112</v>
      </c>
      <c r="G187" s="85" t="s">
        <v>114</v>
      </c>
      <c r="H187" s="85" t="s">
        <v>114</v>
      </c>
      <c r="I187" s="167" t="s">
        <v>429</v>
      </c>
      <c r="J187" s="85" t="s">
        <v>74</v>
      </c>
      <c r="K187" s="85" t="s">
        <v>161</v>
      </c>
      <c r="L187" s="85" t="s">
        <v>185</v>
      </c>
      <c r="M187" s="467"/>
      <c r="N187" s="467">
        <v>240</v>
      </c>
      <c r="O187" s="468"/>
      <c r="P187" s="468">
        <v>400</v>
      </c>
      <c r="Q187" s="499" t="str">
        <f t="shared" si="7"/>
        <v/>
      </c>
      <c r="R187" s="500">
        <f t="shared" si="8"/>
        <v>96000</v>
      </c>
    </row>
    <row r="188" spans="2:18" hidden="1">
      <c r="B188" s="84">
        <v>178</v>
      </c>
      <c r="C188" s="506">
        <v>12209</v>
      </c>
      <c r="D188" s="718">
        <f t="shared" si="6"/>
        <v>17</v>
      </c>
      <c r="E188" s="684">
        <v>45042</v>
      </c>
      <c r="F188" s="85" t="s">
        <v>93</v>
      </c>
      <c r="G188" s="85" t="s">
        <v>8</v>
      </c>
      <c r="H188" s="85" t="s">
        <v>284</v>
      </c>
      <c r="I188" s="86"/>
      <c r="J188" s="85" t="s">
        <v>74</v>
      </c>
      <c r="K188" s="85" t="s">
        <v>87</v>
      </c>
      <c r="L188" s="85" t="s">
        <v>91</v>
      </c>
      <c r="M188" s="467"/>
      <c r="N188" s="467">
        <v>1.2</v>
      </c>
      <c r="O188" s="468"/>
      <c r="P188" s="468">
        <v>10000</v>
      </c>
      <c r="Q188" s="499" t="str">
        <f t="shared" si="7"/>
        <v/>
      </c>
      <c r="R188" s="500">
        <f t="shared" si="8"/>
        <v>12000</v>
      </c>
    </row>
    <row r="189" spans="2:18" hidden="1">
      <c r="B189" s="84">
        <v>179</v>
      </c>
      <c r="C189" s="506">
        <v>12211</v>
      </c>
      <c r="D189" s="718">
        <f t="shared" si="6"/>
        <v>17</v>
      </c>
      <c r="E189" s="684">
        <v>45043</v>
      </c>
      <c r="F189" s="85" t="s">
        <v>106</v>
      </c>
      <c r="G189" s="85" t="s">
        <v>96</v>
      </c>
      <c r="H189" s="85" t="s">
        <v>336</v>
      </c>
      <c r="I189" s="86"/>
      <c r="J189" s="85" t="s">
        <v>74</v>
      </c>
      <c r="K189" s="85" t="s">
        <v>77</v>
      </c>
      <c r="L189" s="85" t="s">
        <v>91</v>
      </c>
      <c r="M189" s="467"/>
      <c r="N189" s="467">
        <v>7</v>
      </c>
      <c r="O189" s="468"/>
      <c r="P189" s="468">
        <v>6000</v>
      </c>
      <c r="Q189" s="499" t="str">
        <f t="shared" si="7"/>
        <v/>
      </c>
      <c r="R189" s="500">
        <f t="shared" si="8"/>
        <v>42000</v>
      </c>
    </row>
    <row r="190" spans="2:18" hidden="1">
      <c r="B190" s="84">
        <v>180</v>
      </c>
      <c r="C190" s="506"/>
      <c r="D190" s="718">
        <f t="shared" si="6"/>
        <v>17</v>
      </c>
      <c r="E190" s="684">
        <v>45043</v>
      </c>
      <c r="F190" s="85"/>
      <c r="G190" s="85"/>
      <c r="H190" s="85"/>
      <c r="I190" s="86"/>
      <c r="J190" s="85" t="s">
        <v>81</v>
      </c>
      <c r="K190" s="85" t="s">
        <v>164</v>
      </c>
      <c r="L190" s="85" t="s">
        <v>165</v>
      </c>
      <c r="M190" s="467">
        <v>287.6268905420971</v>
      </c>
      <c r="N190" s="467"/>
      <c r="O190" s="468">
        <f>(6.829+27.229+10.1+30.042+51.757+1+17.5+9.7+9.95+22.529+36.14+29.6+28.4+23.84)</f>
        <v>304.61599999999993</v>
      </c>
      <c r="P190" s="468"/>
      <c r="Q190" s="499">
        <f t="shared" si="7"/>
        <v>87615.752889371433</v>
      </c>
      <c r="R190" s="500" t="str">
        <f t="shared" si="8"/>
        <v/>
      </c>
    </row>
    <row r="191" spans="2:18" hidden="1">
      <c r="B191" s="84">
        <v>181</v>
      </c>
      <c r="C191" s="506"/>
      <c r="D191" s="718">
        <f t="shared" si="6"/>
        <v>17</v>
      </c>
      <c r="E191" s="684">
        <v>45045</v>
      </c>
      <c r="F191" s="85"/>
      <c r="G191" s="85"/>
      <c r="H191" s="85"/>
      <c r="I191" s="86"/>
      <c r="J191" s="85" t="s">
        <v>81</v>
      </c>
      <c r="K191" s="85" t="s">
        <v>162</v>
      </c>
      <c r="L191" s="85" t="s">
        <v>163</v>
      </c>
      <c r="M191" s="467">
        <v>17000</v>
      </c>
      <c r="N191" s="467"/>
      <c r="O191" s="468">
        <f>(479+385+395+210)/1000</f>
        <v>1.4690000000000001</v>
      </c>
      <c r="P191" s="468"/>
      <c r="Q191" s="499">
        <f t="shared" si="7"/>
        <v>24973</v>
      </c>
      <c r="R191" s="500" t="str">
        <f t="shared" si="8"/>
        <v/>
      </c>
    </row>
    <row r="192" spans="2:18" hidden="1">
      <c r="B192" s="84">
        <v>182</v>
      </c>
      <c r="C192" s="506"/>
      <c r="D192" s="718">
        <f t="shared" si="6"/>
        <v>17</v>
      </c>
      <c r="E192" s="684">
        <v>45045</v>
      </c>
      <c r="F192" s="85" t="s">
        <v>277</v>
      </c>
      <c r="G192" s="85" t="s">
        <v>361</v>
      </c>
      <c r="H192" s="85" t="s">
        <v>283</v>
      </c>
      <c r="I192" s="86"/>
      <c r="J192" s="85" t="s">
        <v>74</v>
      </c>
      <c r="K192" s="85" t="s">
        <v>162</v>
      </c>
      <c r="L192" s="85" t="s">
        <v>163</v>
      </c>
      <c r="M192" s="467"/>
      <c r="N192" s="467"/>
      <c r="O192" s="468"/>
      <c r="P192" s="468">
        <v>0.11</v>
      </c>
      <c r="Q192" s="499" t="str">
        <f t="shared" si="7"/>
        <v/>
      </c>
      <c r="R192" s="500" t="str">
        <f t="shared" si="8"/>
        <v/>
      </c>
    </row>
    <row r="193" spans="2:18" hidden="1">
      <c r="B193" s="84">
        <v>183</v>
      </c>
      <c r="C193" s="506"/>
      <c r="D193" s="718">
        <f t="shared" si="6"/>
        <v>17</v>
      </c>
      <c r="E193" s="684">
        <v>45045</v>
      </c>
      <c r="F193" s="85"/>
      <c r="G193" s="85"/>
      <c r="H193" s="85"/>
      <c r="I193" s="86"/>
      <c r="J193" s="85" t="s">
        <v>74</v>
      </c>
      <c r="K193" s="85" t="s">
        <v>162</v>
      </c>
      <c r="L193" s="85" t="s">
        <v>163</v>
      </c>
      <c r="M193" s="467"/>
      <c r="N193" s="467">
        <v>25000</v>
      </c>
      <c r="O193" s="468"/>
      <c r="P193" s="468">
        <f>(250+200+175+175+210+70)/1000</f>
        <v>1.08</v>
      </c>
      <c r="Q193" s="499" t="str">
        <f t="shared" si="7"/>
        <v/>
      </c>
      <c r="R193" s="500">
        <f t="shared" si="8"/>
        <v>27000</v>
      </c>
    </row>
    <row r="194" spans="2:18" hidden="1">
      <c r="B194" s="84">
        <v>184</v>
      </c>
      <c r="C194" s="506"/>
      <c r="D194" s="718">
        <f t="shared" si="6"/>
        <v>17</v>
      </c>
      <c r="E194" s="684">
        <v>45045</v>
      </c>
      <c r="F194" s="85" t="s">
        <v>113</v>
      </c>
      <c r="G194" s="85" t="s">
        <v>280</v>
      </c>
      <c r="H194" s="85" t="s">
        <v>280</v>
      </c>
      <c r="I194" s="86"/>
      <c r="J194" s="85" t="s">
        <v>74</v>
      </c>
      <c r="K194" s="85" t="s">
        <v>162</v>
      </c>
      <c r="L194" s="85" t="s">
        <v>163</v>
      </c>
      <c r="M194" s="467"/>
      <c r="N194" s="467">
        <v>42000</v>
      </c>
      <c r="O194" s="468"/>
      <c r="P194" s="468">
        <f>250/1000</f>
        <v>0.25</v>
      </c>
      <c r="Q194" s="499" t="str">
        <f t="shared" si="7"/>
        <v/>
      </c>
      <c r="R194" s="500">
        <f t="shared" si="8"/>
        <v>10500</v>
      </c>
    </row>
    <row r="195" spans="2:18" hidden="1">
      <c r="B195" s="84">
        <v>185</v>
      </c>
      <c r="C195" s="506"/>
      <c r="D195" s="718">
        <f t="shared" si="6"/>
        <v>17</v>
      </c>
      <c r="E195" s="684">
        <v>45045</v>
      </c>
      <c r="F195" s="85"/>
      <c r="G195" s="85"/>
      <c r="H195" s="85"/>
      <c r="I195" s="86"/>
      <c r="J195" s="85" t="s">
        <v>81</v>
      </c>
      <c r="K195" s="85" t="s">
        <v>77</v>
      </c>
      <c r="L195" s="85" t="s">
        <v>91</v>
      </c>
      <c r="M195" s="467">
        <v>5.8</v>
      </c>
      <c r="N195" s="467"/>
      <c r="O195" s="468">
        <v>14000</v>
      </c>
      <c r="P195" s="468"/>
      <c r="Q195" s="499">
        <f t="shared" si="7"/>
        <v>81200</v>
      </c>
      <c r="R195" s="500" t="str">
        <f t="shared" si="8"/>
        <v/>
      </c>
    </row>
    <row r="196" spans="2:18" hidden="1">
      <c r="B196" s="84">
        <v>186</v>
      </c>
      <c r="C196" s="506">
        <v>10600</v>
      </c>
      <c r="D196" s="718">
        <f t="shared" si="6"/>
        <v>17</v>
      </c>
      <c r="E196" s="684">
        <v>45045</v>
      </c>
      <c r="F196" s="85" t="s">
        <v>440</v>
      </c>
      <c r="G196" s="85" t="s">
        <v>441</v>
      </c>
      <c r="H196" s="85" t="s">
        <v>91</v>
      </c>
      <c r="I196" s="86"/>
      <c r="J196" s="85" t="s">
        <v>74</v>
      </c>
      <c r="K196" s="85" t="s">
        <v>87</v>
      </c>
      <c r="L196" s="85" t="s">
        <v>91</v>
      </c>
      <c r="M196" s="467"/>
      <c r="N196" s="467"/>
      <c r="O196" s="468"/>
      <c r="P196" s="505">
        <v>750</v>
      </c>
      <c r="Q196" s="499" t="str">
        <f t="shared" si="7"/>
        <v/>
      </c>
      <c r="R196" s="500" t="str">
        <f t="shared" si="8"/>
        <v/>
      </c>
    </row>
    <row r="197" spans="2:18" hidden="1">
      <c r="B197" s="84">
        <v>187</v>
      </c>
      <c r="C197" s="498">
        <v>629</v>
      </c>
      <c r="D197" s="718">
        <f t="shared" si="6"/>
        <v>18</v>
      </c>
      <c r="E197" s="684">
        <v>45048</v>
      </c>
      <c r="F197" s="85" t="s">
        <v>112</v>
      </c>
      <c r="G197" s="85" t="s">
        <v>114</v>
      </c>
      <c r="H197" s="85" t="s">
        <v>114</v>
      </c>
      <c r="I197" s="86" t="s">
        <v>437</v>
      </c>
      <c r="J197" s="85" t="s">
        <v>74</v>
      </c>
      <c r="K197" s="85" t="s">
        <v>56</v>
      </c>
      <c r="L197" s="85" t="s">
        <v>91</v>
      </c>
      <c r="M197" s="467"/>
      <c r="N197" s="467">
        <v>40</v>
      </c>
      <c r="O197" s="468"/>
      <c r="P197" s="501">
        <v>1000</v>
      </c>
      <c r="Q197" s="499" t="str">
        <f t="shared" si="7"/>
        <v/>
      </c>
      <c r="R197" s="500">
        <f t="shared" si="8"/>
        <v>40000</v>
      </c>
    </row>
    <row r="198" spans="2:18" hidden="1">
      <c r="B198" s="84">
        <v>188</v>
      </c>
      <c r="C198" s="506">
        <v>11966</v>
      </c>
      <c r="D198" s="718">
        <f t="shared" si="6"/>
        <v>18</v>
      </c>
      <c r="E198" s="684">
        <v>45048</v>
      </c>
      <c r="F198" s="85" t="s">
        <v>104</v>
      </c>
      <c r="G198" s="85" t="s">
        <v>95</v>
      </c>
      <c r="H198" s="85" t="s">
        <v>301</v>
      </c>
      <c r="I198" s="86"/>
      <c r="J198" s="85" t="s">
        <v>74</v>
      </c>
      <c r="K198" s="85" t="s">
        <v>77</v>
      </c>
      <c r="L198" s="85" t="s">
        <v>91</v>
      </c>
      <c r="M198" s="467"/>
      <c r="N198" s="467">
        <v>7</v>
      </c>
      <c r="O198" s="468"/>
      <c r="P198" s="468">
        <v>4000</v>
      </c>
      <c r="Q198" s="499" t="str">
        <f t="shared" si="7"/>
        <v/>
      </c>
      <c r="R198" s="500">
        <f t="shared" si="8"/>
        <v>28000</v>
      </c>
    </row>
    <row r="199" spans="2:18" hidden="1">
      <c r="B199" s="84">
        <v>189</v>
      </c>
      <c r="C199" s="506"/>
      <c r="D199" s="718">
        <f t="shared" si="6"/>
        <v>18</v>
      </c>
      <c r="E199" s="684">
        <v>45049</v>
      </c>
      <c r="F199" s="85"/>
      <c r="G199" s="85"/>
      <c r="H199" s="85"/>
      <c r="I199" s="86"/>
      <c r="J199" s="85" t="s">
        <v>81</v>
      </c>
      <c r="K199" s="85" t="s">
        <v>164</v>
      </c>
      <c r="L199" s="85" t="s">
        <v>165</v>
      </c>
      <c r="M199" s="467">
        <v>287.6268905420971</v>
      </c>
      <c r="N199" s="467"/>
      <c r="O199" s="468">
        <f>(7.3+37.043+26.71+36.14)</f>
        <v>107.193</v>
      </c>
      <c r="P199" s="468"/>
      <c r="Q199" s="499">
        <f t="shared" si="7"/>
        <v>30831.589277879015</v>
      </c>
      <c r="R199" s="500" t="str">
        <f t="shared" si="8"/>
        <v/>
      </c>
    </row>
    <row r="200" spans="2:18" hidden="1">
      <c r="B200" s="84">
        <v>190</v>
      </c>
      <c r="C200" s="506"/>
      <c r="D200" s="718">
        <f t="shared" si="6"/>
        <v>18</v>
      </c>
      <c r="E200" s="684">
        <v>45049</v>
      </c>
      <c r="F200" s="85"/>
      <c r="G200" s="85"/>
      <c r="H200" s="85"/>
      <c r="I200" s="86"/>
      <c r="J200" s="85" t="s">
        <v>74</v>
      </c>
      <c r="K200" s="85" t="s">
        <v>164</v>
      </c>
      <c r="L200" s="85" t="s">
        <v>165</v>
      </c>
      <c r="M200" s="467"/>
      <c r="N200" s="467">
        <v>82.5</v>
      </c>
      <c r="O200" s="468"/>
      <c r="P200" s="468">
        <v>3</v>
      </c>
      <c r="Q200" s="499" t="str">
        <f t="shared" si="7"/>
        <v/>
      </c>
      <c r="R200" s="500">
        <f t="shared" si="8"/>
        <v>247.5</v>
      </c>
    </row>
    <row r="201" spans="2:18" hidden="1">
      <c r="B201" s="84">
        <v>191</v>
      </c>
      <c r="C201" s="506" t="s">
        <v>422</v>
      </c>
      <c r="D201" s="718">
        <f t="shared" si="6"/>
        <v>18</v>
      </c>
      <c r="E201" s="684">
        <v>45049</v>
      </c>
      <c r="F201" s="85"/>
      <c r="G201" s="85"/>
      <c r="H201" s="85"/>
      <c r="I201" s="86"/>
      <c r="J201" s="85" t="s">
        <v>74</v>
      </c>
      <c r="K201" s="85" t="s">
        <v>85</v>
      </c>
      <c r="L201" s="85" t="s">
        <v>91</v>
      </c>
      <c r="M201" s="467"/>
      <c r="N201" s="467">
        <v>2</v>
      </c>
      <c r="O201" s="468"/>
      <c r="P201" s="468">
        <f>10470+10900+10570+10760+10460+10930</f>
        <v>64090</v>
      </c>
      <c r="Q201" s="499" t="str">
        <f t="shared" si="7"/>
        <v/>
      </c>
      <c r="R201" s="500">
        <f t="shared" si="8"/>
        <v>128180</v>
      </c>
    </row>
    <row r="202" spans="2:18" hidden="1">
      <c r="B202" s="84">
        <v>192</v>
      </c>
      <c r="C202" s="506">
        <v>11975</v>
      </c>
      <c r="D202" s="718">
        <f t="shared" si="6"/>
        <v>18</v>
      </c>
      <c r="E202" s="684">
        <v>45049</v>
      </c>
      <c r="F202" s="85" t="s">
        <v>93</v>
      </c>
      <c r="G202" s="85" t="s">
        <v>8</v>
      </c>
      <c r="H202" s="85" t="s">
        <v>285</v>
      </c>
      <c r="I202" s="86"/>
      <c r="J202" s="85" t="s">
        <v>74</v>
      </c>
      <c r="K202" s="85" t="s">
        <v>87</v>
      </c>
      <c r="L202" s="85" t="s">
        <v>91</v>
      </c>
      <c r="M202" s="467"/>
      <c r="N202" s="467">
        <v>1.2</v>
      </c>
      <c r="O202" s="468"/>
      <c r="P202" s="468">
        <v>10000</v>
      </c>
      <c r="Q202" s="499" t="str">
        <f t="shared" si="7"/>
        <v/>
      </c>
      <c r="R202" s="500">
        <f t="shared" si="8"/>
        <v>12000</v>
      </c>
    </row>
    <row r="203" spans="2:18" hidden="1">
      <c r="B203" s="84">
        <v>193</v>
      </c>
      <c r="C203" s="498">
        <v>630</v>
      </c>
      <c r="D203" s="718">
        <f t="shared" ref="D203:D266" si="9">WEEKNUM(E203,21)</f>
        <v>18</v>
      </c>
      <c r="E203" s="684">
        <v>45050</v>
      </c>
      <c r="F203" s="85" t="s">
        <v>112</v>
      </c>
      <c r="G203" s="85" t="s">
        <v>114</v>
      </c>
      <c r="H203" s="85" t="s">
        <v>114</v>
      </c>
      <c r="I203" s="167" t="s">
        <v>430</v>
      </c>
      <c r="J203" s="85" t="s">
        <v>74</v>
      </c>
      <c r="K203" s="85" t="s">
        <v>652</v>
      </c>
      <c r="L203" s="85" t="s">
        <v>185</v>
      </c>
      <c r="M203" s="467"/>
      <c r="N203" s="467">
        <v>299</v>
      </c>
      <c r="O203" s="468"/>
      <c r="P203" s="468">
        <v>400</v>
      </c>
      <c r="Q203" s="499" t="str">
        <f t="shared" ref="Q203:Q266" si="10">IF((M203*O203)&lt;=0,"",(M203*O203))</f>
        <v/>
      </c>
      <c r="R203" s="500">
        <f t="shared" ref="R203:R266" si="11">IF((N203*P203)&lt;=0,"",(N203*P203))</f>
        <v>119600</v>
      </c>
    </row>
    <row r="204" spans="2:18" hidden="1">
      <c r="B204" s="84">
        <v>194</v>
      </c>
      <c r="C204" s="506"/>
      <c r="D204" s="718">
        <f t="shared" si="9"/>
        <v>18</v>
      </c>
      <c r="E204" s="684">
        <v>45052</v>
      </c>
      <c r="F204" s="85"/>
      <c r="G204" s="85"/>
      <c r="H204" s="85"/>
      <c r="I204" s="86"/>
      <c r="J204" s="85" t="s">
        <v>81</v>
      </c>
      <c r="K204" s="85" t="s">
        <v>162</v>
      </c>
      <c r="L204" s="85" t="s">
        <v>163</v>
      </c>
      <c r="M204" s="467">
        <v>17000</v>
      </c>
      <c r="N204" s="467"/>
      <c r="O204" s="468">
        <f>(390+265+385+310)/1000</f>
        <v>1.35</v>
      </c>
      <c r="P204" s="468"/>
      <c r="Q204" s="499">
        <f t="shared" si="10"/>
        <v>22950</v>
      </c>
      <c r="R204" s="500" t="str">
        <f t="shared" si="11"/>
        <v/>
      </c>
    </row>
    <row r="205" spans="2:18" hidden="1">
      <c r="B205" s="84">
        <v>195</v>
      </c>
      <c r="C205" s="506"/>
      <c r="D205" s="718">
        <f t="shared" si="9"/>
        <v>18</v>
      </c>
      <c r="E205" s="684">
        <v>45052</v>
      </c>
      <c r="F205" s="85"/>
      <c r="G205" s="85"/>
      <c r="H205" s="85"/>
      <c r="I205" s="86"/>
      <c r="J205" s="85" t="s">
        <v>74</v>
      </c>
      <c r="K205" s="85" t="s">
        <v>162</v>
      </c>
      <c r="L205" s="85" t="s">
        <v>163</v>
      </c>
      <c r="M205" s="467"/>
      <c r="N205" s="467">
        <v>25000</v>
      </c>
      <c r="O205" s="468"/>
      <c r="P205" s="468">
        <f>(200+150+300+325+390+400+120)/1000</f>
        <v>1.885</v>
      </c>
      <c r="Q205" s="499" t="str">
        <f t="shared" si="10"/>
        <v/>
      </c>
      <c r="R205" s="500">
        <f t="shared" si="11"/>
        <v>47125</v>
      </c>
    </row>
    <row r="206" spans="2:18" hidden="1">
      <c r="B206" s="84">
        <v>196</v>
      </c>
      <c r="C206" s="506"/>
      <c r="D206" s="718">
        <f t="shared" si="9"/>
        <v>18</v>
      </c>
      <c r="E206" s="684">
        <v>45052</v>
      </c>
      <c r="F206" s="85" t="s">
        <v>113</v>
      </c>
      <c r="G206" s="85" t="s">
        <v>281</v>
      </c>
      <c r="H206" s="85" t="s">
        <v>281</v>
      </c>
      <c r="I206" s="86"/>
      <c r="J206" s="85" t="s">
        <v>74</v>
      </c>
      <c r="K206" s="85" t="s">
        <v>162</v>
      </c>
      <c r="L206" s="85" t="s">
        <v>163</v>
      </c>
      <c r="M206" s="467"/>
      <c r="N206" s="467">
        <v>42000</v>
      </c>
      <c r="O206" s="468"/>
      <c r="P206" s="468">
        <f>250/1000</f>
        <v>0.25</v>
      </c>
      <c r="Q206" s="499" t="str">
        <f t="shared" si="10"/>
        <v/>
      </c>
      <c r="R206" s="500">
        <f t="shared" si="11"/>
        <v>10500</v>
      </c>
    </row>
    <row r="207" spans="2:18" hidden="1">
      <c r="B207" s="84">
        <v>197</v>
      </c>
      <c r="C207" s="506"/>
      <c r="D207" s="718">
        <f t="shared" si="9"/>
        <v>19</v>
      </c>
      <c r="E207" s="684">
        <v>45054</v>
      </c>
      <c r="F207" s="85"/>
      <c r="G207" s="85"/>
      <c r="H207" s="85"/>
      <c r="I207" s="86"/>
      <c r="J207" s="85" t="s">
        <v>81</v>
      </c>
      <c r="K207" s="85" t="s">
        <v>56</v>
      </c>
      <c r="L207" s="85" t="s">
        <v>91</v>
      </c>
      <c r="M207" s="467">
        <v>27.769467619047621</v>
      </c>
      <c r="N207" s="467"/>
      <c r="O207" s="468">
        <v>1000</v>
      </c>
      <c r="P207" s="468"/>
      <c r="Q207" s="499">
        <f t="shared" si="10"/>
        <v>27769.46761904762</v>
      </c>
      <c r="R207" s="500" t="str">
        <f t="shared" si="11"/>
        <v/>
      </c>
    </row>
    <row r="208" spans="2:18" hidden="1">
      <c r="B208" s="84">
        <v>198</v>
      </c>
      <c r="C208" s="506"/>
      <c r="D208" s="718">
        <f t="shared" si="9"/>
        <v>19</v>
      </c>
      <c r="E208" s="684">
        <v>45054</v>
      </c>
      <c r="F208" s="85"/>
      <c r="G208" s="85"/>
      <c r="H208" s="85"/>
      <c r="I208" s="86"/>
      <c r="J208" s="85" t="s">
        <v>81</v>
      </c>
      <c r="K208" s="85" t="s">
        <v>87</v>
      </c>
      <c r="L208" s="85" t="s">
        <v>91</v>
      </c>
      <c r="M208" s="467">
        <v>0.75</v>
      </c>
      <c r="N208" s="467"/>
      <c r="O208" s="468">
        <v>20000</v>
      </c>
      <c r="P208" s="468"/>
      <c r="Q208" s="499">
        <f t="shared" si="10"/>
        <v>15000</v>
      </c>
      <c r="R208" s="500" t="str">
        <f t="shared" si="11"/>
        <v/>
      </c>
    </row>
    <row r="209" spans="2:18" hidden="1">
      <c r="B209" s="84">
        <v>199</v>
      </c>
      <c r="C209" s="506">
        <v>11991</v>
      </c>
      <c r="D209" s="718">
        <f t="shared" si="9"/>
        <v>19</v>
      </c>
      <c r="E209" s="684">
        <v>45054</v>
      </c>
      <c r="F209" s="85" t="s">
        <v>440</v>
      </c>
      <c r="G209" s="85" t="s">
        <v>441</v>
      </c>
      <c r="H209" s="85" t="s">
        <v>91</v>
      </c>
      <c r="I209" s="86"/>
      <c r="J209" s="85" t="s">
        <v>74</v>
      </c>
      <c r="K209" s="85" t="s">
        <v>87</v>
      </c>
      <c r="L209" s="85" t="s">
        <v>91</v>
      </c>
      <c r="M209" s="467"/>
      <c r="N209" s="467"/>
      <c r="O209" s="468"/>
      <c r="P209" s="505">
        <v>750</v>
      </c>
      <c r="Q209" s="499" t="str">
        <f t="shared" si="10"/>
        <v/>
      </c>
      <c r="R209" s="500" t="str">
        <f t="shared" si="11"/>
        <v/>
      </c>
    </row>
    <row r="210" spans="2:18" hidden="1">
      <c r="B210" s="84">
        <v>200</v>
      </c>
      <c r="C210" s="506">
        <v>10597</v>
      </c>
      <c r="D210" s="718">
        <f t="shared" si="9"/>
        <v>19</v>
      </c>
      <c r="E210" s="684">
        <v>45054</v>
      </c>
      <c r="F210" s="85" t="s">
        <v>93</v>
      </c>
      <c r="G210" s="85" t="s">
        <v>8</v>
      </c>
      <c r="H210" s="85" t="s">
        <v>288</v>
      </c>
      <c r="I210" s="86"/>
      <c r="J210" s="85" t="s">
        <v>74</v>
      </c>
      <c r="K210" s="85" t="s">
        <v>87</v>
      </c>
      <c r="L210" s="85" t="s">
        <v>91</v>
      </c>
      <c r="M210" s="467"/>
      <c r="N210" s="467">
        <v>1.2</v>
      </c>
      <c r="O210" s="468"/>
      <c r="P210" s="468">
        <v>10000</v>
      </c>
      <c r="Q210" s="499" t="str">
        <f t="shared" si="10"/>
        <v/>
      </c>
      <c r="R210" s="500">
        <f t="shared" si="11"/>
        <v>12000</v>
      </c>
    </row>
    <row r="211" spans="2:18" hidden="1">
      <c r="B211" s="84">
        <v>201</v>
      </c>
      <c r="C211" s="506"/>
      <c r="D211" s="718">
        <f t="shared" si="9"/>
        <v>19</v>
      </c>
      <c r="E211" s="684">
        <v>45055</v>
      </c>
      <c r="F211" s="85"/>
      <c r="G211" s="85"/>
      <c r="H211" s="85"/>
      <c r="I211" s="86"/>
      <c r="J211" s="85" t="s">
        <v>81</v>
      </c>
      <c r="K211" s="85" t="s">
        <v>652</v>
      </c>
      <c r="L211" s="85" t="s">
        <v>185</v>
      </c>
      <c r="M211" s="467">
        <v>247.18544827008316</v>
      </c>
      <c r="N211" s="467"/>
      <c r="O211" s="468">
        <v>200</v>
      </c>
      <c r="P211" s="468"/>
      <c r="Q211" s="499">
        <f t="shared" si="10"/>
        <v>49437.089654016629</v>
      </c>
      <c r="R211" s="500" t="str">
        <f t="shared" si="11"/>
        <v/>
      </c>
    </row>
    <row r="212" spans="2:18" hidden="1">
      <c r="B212" s="84">
        <v>202</v>
      </c>
      <c r="C212" s="506"/>
      <c r="D212" s="718">
        <f t="shared" si="9"/>
        <v>19</v>
      </c>
      <c r="E212" s="684">
        <v>45055</v>
      </c>
      <c r="F212" s="85"/>
      <c r="G212" s="85"/>
      <c r="H212" s="85"/>
      <c r="I212" s="86"/>
      <c r="J212" s="85" t="s">
        <v>81</v>
      </c>
      <c r="K212" s="85" t="s">
        <v>56</v>
      </c>
      <c r="L212" s="85" t="s">
        <v>91</v>
      </c>
      <c r="M212" s="467">
        <v>27.769467619047621</v>
      </c>
      <c r="N212" s="467"/>
      <c r="O212" s="468">
        <v>1000</v>
      </c>
      <c r="P212" s="468"/>
      <c r="Q212" s="499">
        <f t="shared" si="10"/>
        <v>27769.46761904762</v>
      </c>
      <c r="R212" s="500" t="str">
        <f t="shared" si="11"/>
        <v/>
      </c>
    </row>
    <row r="213" spans="2:18" hidden="1">
      <c r="B213" s="84">
        <v>203</v>
      </c>
      <c r="C213" s="498">
        <v>631</v>
      </c>
      <c r="D213" s="718">
        <f t="shared" si="9"/>
        <v>19</v>
      </c>
      <c r="E213" s="684">
        <v>45057</v>
      </c>
      <c r="F213" s="85" t="s">
        <v>112</v>
      </c>
      <c r="G213" s="85" t="s">
        <v>114</v>
      </c>
      <c r="H213" s="85" t="s">
        <v>114</v>
      </c>
      <c r="I213" s="167" t="s">
        <v>438</v>
      </c>
      <c r="J213" s="85" t="s">
        <v>74</v>
      </c>
      <c r="K213" s="85" t="s">
        <v>56</v>
      </c>
      <c r="L213" s="85" t="s">
        <v>91</v>
      </c>
      <c r="M213" s="467"/>
      <c r="N213" s="467">
        <v>40</v>
      </c>
      <c r="O213" s="468"/>
      <c r="P213" s="501">
        <v>1000</v>
      </c>
      <c r="Q213" s="499" t="str">
        <f t="shared" si="10"/>
        <v/>
      </c>
      <c r="R213" s="500">
        <f t="shared" si="11"/>
        <v>40000</v>
      </c>
    </row>
    <row r="214" spans="2:18" hidden="1">
      <c r="B214" s="84">
        <v>204</v>
      </c>
      <c r="C214" s="498">
        <v>632</v>
      </c>
      <c r="D214" s="718">
        <f t="shared" si="9"/>
        <v>19</v>
      </c>
      <c r="E214" s="684">
        <v>45058</v>
      </c>
      <c r="F214" s="85" t="s">
        <v>112</v>
      </c>
      <c r="G214" s="85" t="s">
        <v>114</v>
      </c>
      <c r="H214" s="85" t="s">
        <v>114</v>
      </c>
      <c r="I214" s="167" t="s">
        <v>431</v>
      </c>
      <c r="J214" s="85" t="s">
        <v>74</v>
      </c>
      <c r="K214" s="85" t="s">
        <v>652</v>
      </c>
      <c r="L214" s="85" t="s">
        <v>185</v>
      </c>
      <c r="M214" s="467"/>
      <c r="N214" s="467">
        <v>299</v>
      </c>
      <c r="O214" s="468"/>
      <c r="P214" s="468">
        <v>400</v>
      </c>
      <c r="Q214" s="499" t="str">
        <f t="shared" si="10"/>
        <v/>
      </c>
      <c r="R214" s="500">
        <f t="shared" si="11"/>
        <v>119600</v>
      </c>
    </row>
    <row r="215" spans="2:18" hidden="1">
      <c r="B215" s="84">
        <v>205</v>
      </c>
      <c r="C215" s="506"/>
      <c r="D215" s="718">
        <f t="shared" si="9"/>
        <v>19</v>
      </c>
      <c r="E215" s="684">
        <v>45058</v>
      </c>
      <c r="F215" s="85"/>
      <c r="G215" s="85"/>
      <c r="H215" s="85"/>
      <c r="I215" s="86"/>
      <c r="J215" s="85" t="s">
        <v>81</v>
      </c>
      <c r="K215" s="85" t="s">
        <v>77</v>
      </c>
      <c r="L215" s="85" t="s">
        <v>91</v>
      </c>
      <c r="M215" s="467">
        <v>5.8</v>
      </c>
      <c r="N215" s="467"/>
      <c r="O215" s="468">
        <v>15000</v>
      </c>
      <c r="P215" s="468"/>
      <c r="Q215" s="499">
        <f t="shared" si="10"/>
        <v>87000</v>
      </c>
      <c r="R215" s="500" t="str">
        <f t="shared" si="11"/>
        <v/>
      </c>
    </row>
    <row r="216" spans="2:18" hidden="1">
      <c r="B216" s="84">
        <v>206</v>
      </c>
      <c r="C216" s="506">
        <v>11982</v>
      </c>
      <c r="D216" s="718">
        <f t="shared" si="9"/>
        <v>19</v>
      </c>
      <c r="E216" s="684">
        <v>45058</v>
      </c>
      <c r="F216" s="85" t="s">
        <v>108</v>
      </c>
      <c r="G216" s="85" t="s">
        <v>98</v>
      </c>
      <c r="H216" s="85" t="s">
        <v>348</v>
      </c>
      <c r="I216" s="86"/>
      <c r="J216" s="85" t="s">
        <v>74</v>
      </c>
      <c r="K216" s="85" t="s">
        <v>77</v>
      </c>
      <c r="L216" s="85" t="s">
        <v>91</v>
      </c>
      <c r="M216" s="467"/>
      <c r="N216" s="467">
        <v>7</v>
      </c>
      <c r="O216" s="468"/>
      <c r="P216" s="468">
        <v>5000</v>
      </c>
      <c r="Q216" s="499" t="str">
        <f t="shared" si="10"/>
        <v/>
      </c>
      <c r="R216" s="500">
        <f t="shared" si="11"/>
        <v>35000</v>
      </c>
    </row>
    <row r="217" spans="2:18" hidden="1">
      <c r="B217" s="84">
        <v>207</v>
      </c>
      <c r="C217" s="506"/>
      <c r="D217" s="718">
        <f t="shared" si="9"/>
        <v>19</v>
      </c>
      <c r="E217" s="684">
        <v>45059</v>
      </c>
      <c r="F217" s="85"/>
      <c r="G217" s="85"/>
      <c r="H217" s="85"/>
      <c r="I217" s="86"/>
      <c r="J217" s="85" t="s">
        <v>81</v>
      </c>
      <c r="K217" s="85" t="s">
        <v>162</v>
      </c>
      <c r="L217" s="85" t="s">
        <v>163</v>
      </c>
      <c r="M217" s="467">
        <v>17000</v>
      </c>
      <c r="N217" s="467"/>
      <c r="O217" s="468">
        <f>(456+330+433+205)/1000</f>
        <v>1.4239999999999999</v>
      </c>
      <c r="P217" s="468"/>
      <c r="Q217" s="499">
        <f t="shared" si="10"/>
        <v>24208</v>
      </c>
      <c r="R217" s="500" t="str">
        <f t="shared" si="11"/>
        <v/>
      </c>
    </row>
    <row r="218" spans="2:18" hidden="1">
      <c r="B218" s="84">
        <v>208</v>
      </c>
      <c r="C218" s="506"/>
      <c r="D218" s="718">
        <f t="shared" si="9"/>
        <v>19</v>
      </c>
      <c r="E218" s="684">
        <v>45059</v>
      </c>
      <c r="F218" s="85" t="s">
        <v>277</v>
      </c>
      <c r="G218" s="85" t="s">
        <v>361</v>
      </c>
      <c r="H218" s="85" t="s">
        <v>283</v>
      </c>
      <c r="I218" s="86"/>
      <c r="J218" s="85" t="s">
        <v>74</v>
      </c>
      <c r="K218" s="85" t="s">
        <v>162</v>
      </c>
      <c r="L218" s="85" t="s">
        <v>163</v>
      </c>
      <c r="M218" s="467"/>
      <c r="N218" s="467"/>
      <c r="O218" s="468"/>
      <c r="P218" s="468">
        <v>0.11</v>
      </c>
      <c r="Q218" s="499" t="str">
        <f t="shared" si="10"/>
        <v/>
      </c>
      <c r="R218" s="500" t="str">
        <f t="shared" si="11"/>
        <v/>
      </c>
    </row>
    <row r="219" spans="2:18" hidden="1">
      <c r="B219" s="84">
        <v>209</v>
      </c>
      <c r="C219" s="506"/>
      <c r="D219" s="718">
        <f t="shared" si="9"/>
        <v>19</v>
      </c>
      <c r="E219" s="684">
        <v>45059</v>
      </c>
      <c r="F219" s="85" t="s">
        <v>113</v>
      </c>
      <c r="G219" s="85" t="s">
        <v>280</v>
      </c>
      <c r="H219" s="85" t="s">
        <v>280</v>
      </c>
      <c r="I219" s="86"/>
      <c r="J219" s="85" t="s">
        <v>74</v>
      </c>
      <c r="K219" s="85" t="s">
        <v>162</v>
      </c>
      <c r="L219" s="85" t="s">
        <v>163</v>
      </c>
      <c r="M219" s="467"/>
      <c r="N219" s="467">
        <v>42000</v>
      </c>
      <c r="O219" s="468"/>
      <c r="P219" s="468">
        <f>250/1000</f>
        <v>0.25</v>
      </c>
      <c r="Q219" s="499" t="str">
        <f t="shared" si="10"/>
        <v/>
      </c>
      <c r="R219" s="500">
        <f t="shared" si="11"/>
        <v>10500</v>
      </c>
    </row>
    <row r="220" spans="2:18" hidden="1">
      <c r="B220" s="84">
        <v>210</v>
      </c>
      <c r="C220" s="506"/>
      <c r="D220" s="718">
        <f t="shared" si="9"/>
        <v>19</v>
      </c>
      <c r="E220" s="684">
        <v>45059</v>
      </c>
      <c r="F220" s="85"/>
      <c r="G220" s="85"/>
      <c r="H220" s="85"/>
      <c r="I220" s="86"/>
      <c r="J220" s="85" t="s">
        <v>74</v>
      </c>
      <c r="K220" s="85" t="s">
        <v>162</v>
      </c>
      <c r="L220" s="85" t="s">
        <v>163</v>
      </c>
      <c r="M220" s="467"/>
      <c r="N220" s="467">
        <v>25000</v>
      </c>
      <c r="O220" s="468"/>
      <c r="P220" s="468">
        <f>(250+150+275+300+350)/1000</f>
        <v>1.325</v>
      </c>
      <c r="Q220" s="499" t="str">
        <f t="shared" si="10"/>
        <v/>
      </c>
      <c r="R220" s="500">
        <f t="shared" si="11"/>
        <v>33125</v>
      </c>
    </row>
    <row r="221" spans="2:18" hidden="1">
      <c r="B221" s="84">
        <v>211</v>
      </c>
      <c r="C221" s="506">
        <v>11997</v>
      </c>
      <c r="D221" s="718">
        <f t="shared" si="9"/>
        <v>19</v>
      </c>
      <c r="E221" s="684">
        <v>45059</v>
      </c>
      <c r="F221" s="85" t="s">
        <v>105</v>
      </c>
      <c r="G221" s="85" t="s">
        <v>9</v>
      </c>
      <c r="H221" s="85" t="s">
        <v>319</v>
      </c>
      <c r="I221" s="86"/>
      <c r="J221" s="85" t="s">
        <v>74</v>
      </c>
      <c r="K221" s="85" t="s">
        <v>87</v>
      </c>
      <c r="L221" s="85" t="s">
        <v>91</v>
      </c>
      <c r="M221" s="467"/>
      <c r="N221" s="467">
        <v>1.2</v>
      </c>
      <c r="O221" s="468"/>
      <c r="P221" s="468">
        <v>6000</v>
      </c>
      <c r="Q221" s="499" t="str">
        <f t="shared" si="10"/>
        <v/>
      </c>
      <c r="R221" s="500">
        <f t="shared" si="11"/>
        <v>7200</v>
      </c>
    </row>
    <row r="222" spans="2:18" hidden="1">
      <c r="B222" s="84">
        <v>212</v>
      </c>
      <c r="C222" s="506"/>
      <c r="D222" s="718">
        <f t="shared" si="9"/>
        <v>19</v>
      </c>
      <c r="E222" s="684">
        <v>45059</v>
      </c>
      <c r="F222" s="85"/>
      <c r="G222" s="85"/>
      <c r="H222" s="85"/>
      <c r="I222" s="86"/>
      <c r="J222" s="85" t="s">
        <v>81</v>
      </c>
      <c r="K222" s="85" t="s">
        <v>164</v>
      </c>
      <c r="L222" s="85" t="s">
        <v>165</v>
      </c>
      <c r="M222" s="467">
        <v>287.6268905420971</v>
      </c>
      <c r="N222" s="467"/>
      <c r="O222" s="468">
        <v>115.57</v>
      </c>
      <c r="P222" s="468"/>
      <c r="Q222" s="499">
        <f t="shared" si="10"/>
        <v>33241.03973995016</v>
      </c>
      <c r="R222" s="500" t="str">
        <f t="shared" si="11"/>
        <v/>
      </c>
    </row>
    <row r="223" spans="2:18" hidden="1">
      <c r="B223" s="84">
        <v>213</v>
      </c>
      <c r="C223" s="506"/>
      <c r="D223" s="718">
        <f t="shared" si="9"/>
        <v>19</v>
      </c>
      <c r="E223" s="684">
        <v>45059</v>
      </c>
      <c r="F223" s="85"/>
      <c r="G223" s="85"/>
      <c r="H223" s="85"/>
      <c r="I223" s="86"/>
      <c r="J223" s="85" t="s">
        <v>74</v>
      </c>
      <c r="K223" s="85" t="s">
        <v>164</v>
      </c>
      <c r="L223" s="85" t="s">
        <v>165</v>
      </c>
      <c r="M223" s="467"/>
      <c r="N223" s="467"/>
      <c r="O223" s="468"/>
      <c r="P223" s="503">
        <f>1</f>
        <v>1</v>
      </c>
      <c r="Q223" s="499" t="str">
        <f t="shared" si="10"/>
        <v/>
      </c>
      <c r="R223" s="500" t="str">
        <f t="shared" si="11"/>
        <v/>
      </c>
    </row>
    <row r="224" spans="2:18" hidden="1">
      <c r="B224" s="84">
        <v>214</v>
      </c>
      <c r="C224" s="498"/>
      <c r="D224" s="718">
        <f t="shared" si="9"/>
        <v>19</v>
      </c>
      <c r="E224" s="684">
        <v>45059</v>
      </c>
      <c r="F224" s="85"/>
      <c r="G224" s="85"/>
      <c r="H224" s="85"/>
      <c r="I224" s="86"/>
      <c r="J224" s="85" t="s">
        <v>74</v>
      </c>
      <c r="K224" s="85" t="s">
        <v>164</v>
      </c>
      <c r="L224" s="85" t="s">
        <v>165</v>
      </c>
      <c r="M224" s="467"/>
      <c r="N224" s="467">
        <v>82.5</v>
      </c>
      <c r="O224" s="468"/>
      <c r="P224" s="468">
        <v>30</v>
      </c>
      <c r="Q224" s="499" t="str">
        <f t="shared" si="10"/>
        <v/>
      </c>
      <c r="R224" s="500">
        <f t="shared" si="11"/>
        <v>2475</v>
      </c>
    </row>
    <row r="225" spans="2:18" hidden="1">
      <c r="B225" s="84">
        <v>215</v>
      </c>
      <c r="C225" s="506"/>
      <c r="D225" s="718">
        <f t="shared" si="9"/>
        <v>20</v>
      </c>
      <c r="E225" s="684">
        <v>45061</v>
      </c>
      <c r="F225" s="85"/>
      <c r="G225" s="85"/>
      <c r="H225" s="85"/>
      <c r="I225" s="86"/>
      <c r="J225" s="85" t="s">
        <v>81</v>
      </c>
      <c r="K225" s="85" t="s">
        <v>87</v>
      </c>
      <c r="L225" s="85" t="s">
        <v>91</v>
      </c>
      <c r="M225" s="467">
        <v>0.75</v>
      </c>
      <c r="N225" s="467"/>
      <c r="O225" s="468">
        <v>14000</v>
      </c>
      <c r="P225" s="468"/>
      <c r="Q225" s="499">
        <f t="shared" si="10"/>
        <v>10500</v>
      </c>
      <c r="R225" s="500" t="str">
        <f t="shared" si="11"/>
        <v/>
      </c>
    </row>
    <row r="226" spans="2:18" hidden="1">
      <c r="B226" s="84">
        <v>216</v>
      </c>
      <c r="C226" s="506" t="s">
        <v>448</v>
      </c>
      <c r="D226" s="718">
        <f t="shared" si="9"/>
        <v>20</v>
      </c>
      <c r="E226" s="684">
        <v>45062</v>
      </c>
      <c r="F226" s="85" t="s">
        <v>107</v>
      </c>
      <c r="G226" s="85" t="s">
        <v>97</v>
      </c>
      <c r="H226" s="85" t="s">
        <v>341</v>
      </c>
      <c r="I226" s="86"/>
      <c r="J226" s="85" t="s">
        <v>74</v>
      </c>
      <c r="K226" s="85" t="s">
        <v>87</v>
      </c>
      <c r="L226" s="85" t="s">
        <v>91</v>
      </c>
      <c r="M226" s="467"/>
      <c r="N226" s="467">
        <v>1.2</v>
      </c>
      <c r="O226" s="468"/>
      <c r="P226" s="468">
        <v>20000</v>
      </c>
      <c r="Q226" s="499" t="str">
        <f t="shared" si="10"/>
        <v/>
      </c>
      <c r="R226" s="500">
        <f t="shared" si="11"/>
        <v>24000</v>
      </c>
    </row>
    <row r="227" spans="2:18" hidden="1">
      <c r="B227" s="84">
        <v>217</v>
      </c>
      <c r="C227" s="498">
        <v>633</v>
      </c>
      <c r="D227" s="718">
        <f t="shared" si="9"/>
        <v>20</v>
      </c>
      <c r="E227" s="684">
        <v>45064</v>
      </c>
      <c r="F227" s="85" t="s">
        <v>112</v>
      </c>
      <c r="G227" s="85" t="s">
        <v>114</v>
      </c>
      <c r="H227" s="85" t="s">
        <v>114</v>
      </c>
      <c r="I227" s="167" t="s">
        <v>432</v>
      </c>
      <c r="J227" s="85" t="s">
        <v>74</v>
      </c>
      <c r="K227" s="85" t="s">
        <v>161</v>
      </c>
      <c r="L227" s="85" t="s">
        <v>185</v>
      </c>
      <c r="M227" s="467"/>
      <c r="N227" s="467">
        <v>240</v>
      </c>
      <c r="O227" s="468"/>
      <c r="P227" s="468">
        <v>400</v>
      </c>
      <c r="Q227" s="499" t="str">
        <f t="shared" si="10"/>
        <v/>
      </c>
      <c r="R227" s="500">
        <f t="shared" si="11"/>
        <v>96000</v>
      </c>
    </row>
    <row r="228" spans="2:18" hidden="1">
      <c r="B228" s="84">
        <v>218</v>
      </c>
      <c r="C228" s="506"/>
      <c r="D228" s="718">
        <f t="shared" si="9"/>
        <v>20</v>
      </c>
      <c r="E228" s="684">
        <v>45065</v>
      </c>
      <c r="F228" s="85"/>
      <c r="G228" s="85"/>
      <c r="H228" s="85"/>
      <c r="I228" s="86"/>
      <c r="J228" s="85" t="s">
        <v>74</v>
      </c>
      <c r="K228" s="85" t="s">
        <v>164</v>
      </c>
      <c r="L228" s="85" t="s">
        <v>165</v>
      </c>
      <c r="M228" s="467"/>
      <c r="N228" s="467">
        <v>82.5</v>
      </c>
      <c r="O228" s="468"/>
      <c r="P228" s="468">
        <f>30+20</f>
        <v>50</v>
      </c>
      <c r="Q228" s="499" t="str">
        <f t="shared" si="10"/>
        <v/>
      </c>
      <c r="R228" s="500">
        <f t="shared" si="11"/>
        <v>4125</v>
      </c>
    </row>
    <row r="229" spans="2:18" hidden="1">
      <c r="B229" s="84">
        <v>219</v>
      </c>
      <c r="C229" s="506"/>
      <c r="D229" s="718">
        <f t="shared" si="9"/>
        <v>20</v>
      </c>
      <c r="E229" s="684">
        <v>45066</v>
      </c>
      <c r="F229" s="85"/>
      <c r="G229" s="85"/>
      <c r="H229" s="85"/>
      <c r="I229" s="86"/>
      <c r="J229" s="85" t="s">
        <v>81</v>
      </c>
      <c r="K229" s="85" t="s">
        <v>85</v>
      </c>
      <c r="L229" s="85" t="s">
        <v>91</v>
      </c>
      <c r="M229" s="467">
        <v>1.25</v>
      </c>
      <c r="N229" s="467"/>
      <c r="O229" s="468">
        <v>192000</v>
      </c>
      <c r="P229" s="468"/>
      <c r="Q229" s="499">
        <f t="shared" si="10"/>
        <v>240000</v>
      </c>
      <c r="R229" s="500" t="str">
        <f t="shared" si="11"/>
        <v/>
      </c>
    </row>
    <row r="230" spans="2:18" hidden="1">
      <c r="B230" s="84">
        <v>220</v>
      </c>
      <c r="C230" s="506"/>
      <c r="D230" s="718">
        <f t="shared" si="9"/>
        <v>20</v>
      </c>
      <c r="E230" s="684">
        <v>45066</v>
      </c>
      <c r="F230" s="85"/>
      <c r="G230" s="85"/>
      <c r="H230" s="85"/>
      <c r="I230" s="86"/>
      <c r="J230" s="85" t="s">
        <v>81</v>
      </c>
      <c r="K230" s="85" t="s">
        <v>162</v>
      </c>
      <c r="L230" s="85" t="s">
        <v>163</v>
      </c>
      <c r="M230" s="467">
        <v>17000</v>
      </c>
      <c r="N230" s="467"/>
      <c r="O230" s="468">
        <f>(370+268+363+242)/1000</f>
        <v>1.2430000000000001</v>
      </c>
      <c r="P230" s="468"/>
      <c r="Q230" s="499">
        <f t="shared" si="10"/>
        <v>21131</v>
      </c>
      <c r="R230" s="500" t="str">
        <f t="shared" si="11"/>
        <v/>
      </c>
    </row>
    <row r="231" spans="2:18" hidden="1">
      <c r="B231" s="84">
        <v>221</v>
      </c>
      <c r="C231" s="506"/>
      <c r="D231" s="718">
        <f t="shared" si="9"/>
        <v>20</v>
      </c>
      <c r="E231" s="684">
        <v>45066</v>
      </c>
      <c r="F231" s="85"/>
      <c r="G231" s="85"/>
      <c r="H231" s="85"/>
      <c r="I231" s="86"/>
      <c r="J231" s="85" t="s">
        <v>74</v>
      </c>
      <c r="K231" s="85" t="s">
        <v>162</v>
      </c>
      <c r="L231" s="85" t="s">
        <v>163</v>
      </c>
      <c r="M231" s="467"/>
      <c r="N231" s="467">
        <v>25000</v>
      </c>
      <c r="O231" s="468"/>
      <c r="P231" s="468">
        <f>(100+225+300+300+290+80+15+10+110)/1000</f>
        <v>1.43</v>
      </c>
      <c r="Q231" s="499" t="str">
        <f t="shared" si="10"/>
        <v/>
      </c>
      <c r="R231" s="500">
        <f t="shared" si="11"/>
        <v>35750</v>
      </c>
    </row>
    <row r="232" spans="2:18" hidden="1">
      <c r="B232" s="84">
        <v>222</v>
      </c>
      <c r="C232" s="506"/>
      <c r="D232" s="718">
        <f t="shared" si="9"/>
        <v>20</v>
      </c>
      <c r="E232" s="684">
        <v>45066</v>
      </c>
      <c r="F232" s="85" t="s">
        <v>113</v>
      </c>
      <c r="G232" s="85" t="s">
        <v>281</v>
      </c>
      <c r="H232" s="85" t="s">
        <v>281</v>
      </c>
      <c r="I232" s="86"/>
      <c r="J232" s="85" t="s">
        <v>74</v>
      </c>
      <c r="K232" s="85" t="s">
        <v>162</v>
      </c>
      <c r="L232" s="85" t="s">
        <v>163</v>
      </c>
      <c r="M232" s="467"/>
      <c r="N232" s="467">
        <v>42000</v>
      </c>
      <c r="O232" s="468"/>
      <c r="P232" s="468">
        <f>250/1000</f>
        <v>0.25</v>
      </c>
      <c r="Q232" s="499" t="str">
        <f t="shared" si="10"/>
        <v/>
      </c>
      <c r="R232" s="500">
        <f t="shared" si="11"/>
        <v>10500</v>
      </c>
    </row>
    <row r="233" spans="2:18" hidden="1">
      <c r="B233" s="84">
        <v>223</v>
      </c>
      <c r="C233" s="506"/>
      <c r="D233" s="718">
        <f t="shared" si="9"/>
        <v>21</v>
      </c>
      <c r="E233" s="684">
        <v>45068</v>
      </c>
      <c r="F233" s="85"/>
      <c r="G233" s="85"/>
      <c r="H233" s="85"/>
      <c r="I233" s="86"/>
      <c r="J233" s="85" t="s">
        <v>81</v>
      </c>
      <c r="K233" s="85" t="s">
        <v>77</v>
      </c>
      <c r="L233" s="85" t="s">
        <v>91</v>
      </c>
      <c r="M233" s="467">
        <v>5.8</v>
      </c>
      <c r="N233" s="467"/>
      <c r="O233" s="468">
        <v>8000</v>
      </c>
      <c r="P233" s="468"/>
      <c r="Q233" s="499">
        <f t="shared" si="10"/>
        <v>46400</v>
      </c>
      <c r="R233" s="500" t="str">
        <f t="shared" si="11"/>
        <v/>
      </c>
    </row>
    <row r="234" spans="2:18">
      <c r="B234" s="84">
        <v>224</v>
      </c>
      <c r="C234" s="506" t="s">
        <v>588</v>
      </c>
      <c r="D234" s="718">
        <f t="shared" si="9"/>
        <v>21</v>
      </c>
      <c r="E234" s="684">
        <v>45069</v>
      </c>
      <c r="F234" s="85" t="s">
        <v>106</v>
      </c>
      <c r="G234" s="85" t="s">
        <v>96</v>
      </c>
      <c r="H234" s="85" t="s">
        <v>334</v>
      </c>
      <c r="I234" s="86"/>
      <c r="J234" s="85" t="s">
        <v>74</v>
      </c>
      <c r="K234" s="85" t="s">
        <v>86</v>
      </c>
      <c r="L234" s="85" t="s">
        <v>91</v>
      </c>
      <c r="M234" s="467"/>
      <c r="N234" s="467">
        <v>3.5</v>
      </c>
      <c r="O234" s="468"/>
      <c r="P234" s="468">
        <v>8000</v>
      </c>
      <c r="Q234" s="499" t="str">
        <f t="shared" si="10"/>
        <v/>
      </c>
      <c r="R234" s="500">
        <f t="shared" si="11"/>
        <v>28000</v>
      </c>
    </row>
    <row r="235" spans="2:18" hidden="1">
      <c r="B235" s="84">
        <v>225</v>
      </c>
      <c r="C235" s="506">
        <v>11985</v>
      </c>
      <c r="D235" s="718">
        <f t="shared" si="9"/>
        <v>21</v>
      </c>
      <c r="E235" s="684">
        <v>45069</v>
      </c>
      <c r="F235" s="85" t="s">
        <v>107</v>
      </c>
      <c r="G235" s="85" t="s">
        <v>97</v>
      </c>
      <c r="H235" s="85" t="s">
        <v>342</v>
      </c>
      <c r="I235" s="86"/>
      <c r="J235" s="85" t="s">
        <v>74</v>
      </c>
      <c r="K235" s="85" t="s">
        <v>77</v>
      </c>
      <c r="L235" s="85" t="s">
        <v>91</v>
      </c>
      <c r="M235" s="467"/>
      <c r="N235" s="467">
        <v>7</v>
      </c>
      <c r="O235" s="468"/>
      <c r="P235" s="468">
        <v>20000</v>
      </c>
      <c r="Q235" s="499" t="str">
        <f t="shared" si="10"/>
        <v/>
      </c>
      <c r="R235" s="500">
        <f t="shared" si="11"/>
        <v>140000</v>
      </c>
    </row>
    <row r="236" spans="2:18" hidden="1">
      <c r="B236" s="84">
        <v>226</v>
      </c>
      <c r="C236" s="506">
        <v>11988</v>
      </c>
      <c r="D236" s="718">
        <f t="shared" si="9"/>
        <v>21</v>
      </c>
      <c r="E236" s="684">
        <v>45071</v>
      </c>
      <c r="F236" s="85" t="s">
        <v>105</v>
      </c>
      <c r="G236" s="85" t="s">
        <v>9</v>
      </c>
      <c r="H236" s="85" t="s">
        <v>314</v>
      </c>
      <c r="I236" s="86"/>
      <c r="J236" s="85" t="s">
        <v>74</v>
      </c>
      <c r="K236" s="85" t="s">
        <v>87</v>
      </c>
      <c r="L236" s="85" t="s">
        <v>91</v>
      </c>
      <c r="M236" s="467"/>
      <c r="N236" s="467">
        <v>1.2</v>
      </c>
      <c r="O236" s="468"/>
      <c r="P236" s="468">
        <v>10000</v>
      </c>
      <c r="Q236" s="499" t="str">
        <f t="shared" si="10"/>
        <v/>
      </c>
      <c r="R236" s="500">
        <f t="shared" si="11"/>
        <v>12000</v>
      </c>
    </row>
    <row r="237" spans="2:18" hidden="1">
      <c r="B237" s="84">
        <v>227</v>
      </c>
      <c r="C237" s="498">
        <v>634</v>
      </c>
      <c r="D237" s="718">
        <f t="shared" si="9"/>
        <v>21</v>
      </c>
      <c r="E237" s="684">
        <v>45071</v>
      </c>
      <c r="F237" s="85" t="s">
        <v>112</v>
      </c>
      <c r="G237" s="85" t="s">
        <v>114</v>
      </c>
      <c r="H237" s="85" t="s">
        <v>114</v>
      </c>
      <c r="I237" s="167" t="s">
        <v>433</v>
      </c>
      <c r="J237" s="85" t="s">
        <v>74</v>
      </c>
      <c r="K237" s="85" t="s">
        <v>652</v>
      </c>
      <c r="L237" s="85" t="s">
        <v>185</v>
      </c>
      <c r="M237" s="467"/>
      <c r="N237" s="467">
        <v>299</v>
      </c>
      <c r="O237" s="468"/>
      <c r="P237" s="468">
        <v>200</v>
      </c>
      <c r="Q237" s="499" t="str">
        <f t="shared" si="10"/>
        <v/>
      </c>
      <c r="R237" s="500">
        <f t="shared" si="11"/>
        <v>59800</v>
      </c>
    </row>
    <row r="238" spans="2:18" hidden="1">
      <c r="B238" s="84">
        <v>228</v>
      </c>
      <c r="C238" s="498"/>
      <c r="D238" s="718">
        <f t="shared" si="9"/>
        <v>21</v>
      </c>
      <c r="E238" s="684">
        <v>45071</v>
      </c>
      <c r="F238" s="85"/>
      <c r="G238" s="85"/>
      <c r="H238" s="85"/>
      <c r="I238" s="86"/>
      <c r="J238" s="85" t="s">
        <v>74</v>
      </c>
      <c r="K238" s="85" t="s">
        <v>164</v>
      </c>
      <c r="L238" s="85" t="s">
        <v>165</v>
      </c>
      <c r="M238" s="467"/>
      <c r="N238" s="467">
        <v>82.5</v>
      </c>
      <c r="O238" s="468"/>
      <c r="P238" s="468">
        <v>30</v>
      </c>
      <c r="Q238" s="499" t="str">
        <f t="shared" si="10"/>
        <v/>
      </c>
      <c r="R238" s="500">
        <f t="shared" si="11"/>
        <v>2475</v>
      </c>
    </row>
    <row r="239" spans="2:18" hidden="1">
      <c r="B239" s="84">
        <v>229</v>
      </c>
      <c r="C239" s="498"/>
      <c r="D239" s="718">
        <f t="shared" si="9"/>
        <v>21</v>
      </c>
      <c r="E239" s="684">
        <v>45072</v>
      </c>
      <c r="F239" s="85"/>
      <c r="G239" s="85"/>
      <c r="H239" s="85"/>
      <c r="I239" s="86"/>
      <c r="J239" s="85" t="s">
        <v>81</v>
      </c>
      <c r="K239" s="85" t="s">
        <v>77</v>
      </c>
      <c r="L239" s="85" t="s">
        <v>91</v>
      </c>
      <c r="M239" s="467">
        <v>5.8</v>
      </c>
      <c r="N239" s="467"/>
      <c r="O239" s="468">
        <v>17000</v>
      </c>
      <c r="P239" s="468"/>
      <c r="Q239" s="499">
        <f t="shared" si="10"/>
        <v>98600</v>
      </c>
      <c r="R239" s="500" t="str">
        <f t="shared" si="11"/>
        <v/>
      </c>
    </row>
    <row r="240" spans="2:18" hidden="1">
      <c r="B240" s="84">
        <v>230</v>
      </c>
      <c r="C240" s="498"/>
      <c r="D240" s="718">
        <f t="shared" si="9"/>
        <v>21</v>
      </c>
      <c r="E240" s="684">
        <v>45073</v>
      </c>
      <c r="F240" s="85"/>
      <c r="G240" s="85"/>
      <c r="H240" s="85"/>
      <c r="I240" s="86"/>
      <c r="J240" s="85" t="s">
        <v>81</v>
      </c>
      <c r="K240" s="85" t="s">
        <v>86</v>
      </c>
      <c r="L240" s="85" t="s">
        <v>91</v>
      </c>
      <c r="M240" s="467">
        <v>2.2000000000000002</v>
      </c>
      <c r="N240" s="467"/>
      <c r="O240" s="468">
        <v>54000</v>
      </c>
      <c r="P240" s="468"/>
      <c r="Q240" s="499">
        <f t="shared" si="10"/>
        <v>118800.00000000001</v>
      </c>
      <c r="R240" s="500" t="str">
        <f t="shared" si="11"/>
        <v/>
      </c>
    </row>
    <row r="241" spans="2:18" hidden="1">
      <c r="B241" s="84">
        <v>231</v>
      </c>
      <c r="C241" s="498"/>
      <c r="D241" s="718">
        <f t="shared" si="9"/>
        <v>21</v>
      </c>
      <c r="E241" s="684">
        <v>45073</v>
      </c>
      <c r="F241" s="85"/>
      <c r="G241" s="85"/>
      <c r="H241" s="85"/>
      <c r="I241" s="86"/>
      <c r="J241" s="85" t="s">
        <v>81</v>
      </c>
      <c r="K241" s="85" t="s">
        <v>162</v>
      </c>
      <c r="L241" s="85" t="s">
        <v>163</v>
      </c>
      <c r="M241" s="467">
        <v>17000</v>
      </c>
      <c r="N241" s="467"/>
      <c r="O241" s="468">
        <f>(415+340+364+158)/1000</f>
        <v>1.2769999999999999</v>
      </c>
      <c r="P241" s="468"/>
      <c r="Q241" s="499">
        <f t="shared" si="10"/>
        <v>21709</v>
      </c>
      <c r="R241" s="500" t="str">
        <f t="shared" si="11"/>
        <v/>
      </c>
    </row>
    <row r="242" spans="2:18" hidden="1">
      <c r="B242" s="84">
        <v>232</v>
      </c>
      <c r="C242" s="498"/>
      <c r="D242" s="718">
        <f t="shared" si="9"/>
        <v>21</v>
      </c>
      <c r="E242" s="684">
        <v>45073</v>
      </c>
      <c r="F242" s="85" t="s">
        <v>277</v>
      </c>
      <c r="G242" s="85" t="s">
        <v>361</v>
      </c>
      <c r="H242" s="85" t="s">
        <v>283</v>
      </c>
      <c r="I242" s="86"/>
      <c r="J242" s="85" t="s">
        <v>74</v>
      </c>
      <c r="K242" s="85" t="s">
        <v>162</v>
      </c>
      <c r="L242" s="85" t="s">
        <v>163</v>
      </c>
      <c r="M242" s="467"/>
      <c r="N242" s="467"/>
      <c r="O242" s="468"/>
      <c r="P242" s="468">
        <v>0.11</v>
      </c>
      <c r="Q242" s="499" t="str">
        <f t="shared" si="10"/>
        <v/>
      </c>
      <c r="R242" s="500" t="str">
        <f t="shared" si="11"/>
        <v/>
      </c>
    </row>
    <row r="243" spans="2:18" hidden="1">
      <c r="B243" s="84">
        <v>233</v>
      </c>
      <c r="C243" s="498"/>
      <c r="D243" s="718">
        <f t="shared" si="9"/>
        <v>21</v>
      </c>
      <c r="E243" s="684">
        <v>45073</v>
      </c>
      <c r="F243" s="85"/>
      <c r="G243" s="85"/>
      <c r="H243" s="85"/>
      <c r="I243" s="86"/>
      <c r="J243" s="85" t="s">
        <v>74</v>
      </c>
      <c r="K243" s="85" t="s">
        <v>162</v>
      </c>
      <c r="L243" s="85" t="s">
        <v>163</v>
      </c>
      <c r="M243" s="467"/>
      <c r="N243" s="467">
        <v>25000</v>
      </c>
      <c r="O243" s="468"/>
      <c r="P243" s="468">
        <f>(200+350+300+350)/1000</f>
        <v>1.2</v>
      </c>
      <c r="Q243" s="499" t="str">
        <f t="shared" si="10"/>
        <v/>
      </c>
      <c r="R243" s="500">
        <f t="shared" si="11"/>
        <v>30000</v>
      </c>
    </row>
    <row r="244" spans="2:18" hidden="1">
      <c r="B244" s="84">
        <v>234</v>
      </c>
      <c r="C244" s="498"/>
      <c r="D244" s="718">
        <f t="shared" si="9"/>
        <v>21</v>
      </c>
      <c r="E244" s="684">
        <v>45073</v>
      </c>
      <c r="F244" s="85"/>
      <c r="G244" s="85"/>
      <c r="H244" s="85"/>
      <c r="I244" s="86"/>
      <c r="J244" s="85" t="s">
        <v>74</v>
      </c>
      <c r="K244" s="85" t="s">
        <v>162</v>
      </c>
      <c r="L244" s="85" t="s">
        <v>163</v>
      </c>
      <c r="M244" s="467"/>
      <c r="N244" s="467">
        <v>25000</v>
      </c>
      <c r="O244" s="468"/>
      <c r="P244" s="468">
        <f>30/1000</f>
        <v>0.03</v>
      </c>
      <c r="Q244" s="499" t="str">
        <f t="shared" si="10"/>
        <v/>
      </c>
      <c r="R244" s="500">
        <f t="shared" si="11"/>
        <v>750</v>
      </c>
    </row>
    <row r="245" spans="2:18" hidden="1">
      <c r="B245" s="84">
        <v>235</v>
      </c>
      <c r="C245" s="498"/>
      <c r="D245" s="718">
        <f t="shared" si="9"/>
        <v>21</v>
      </c>
      <c r="E245" s="684">
        <v>45073</v>
      </c>
      <c r="F245" s="85" t="s">
        <v>113</v>
      </c>
      <c r="G245" s="85" t="s">
        <v>280</v>
      </c>
      <c r="H245" s="85" t="s">
        <v>280</v>
      </c>
      <c r="I245" s="86"/>
      <c r="J245" s="85" t="s">
        <v>74</v>
      </c>
      <c r="K245" s="85" t="s">
        <v>162</v>
      </c>
      <c r="L245" s="85" t="s">
        <v>163</v>
      </c>
      <c r="M245" s="467"/>
      <c r="N245" s="467">
        <v>42000</v>
      </c>
      <c r="O245" s="468"/>
      <c r="P245" s="468">
        <f>250/1000</f>
        <v>0.25</v>
      </c>
      <c r="Q245" s="499" t="str">
        <f t="shared" si="10"/>
        <v/>
      </c>
      <c r="R245" s="500">
        <f t="shared" si="11"/>
        <v>10500</v>
      </c>
    </row>
    <row r="246" spans="2:18" hidden="1">
      <c r="B246" s="84">
        <v>236</v>
      </c>
      <c r="C246" s="498"/>
      <c r="D246" s="718">
        <f t="shared" si="9"/>
        <v>22</v>
      </c>
      <c r="E246" s="684">
        <v>45075</v>
      </c>
      <c r="F246" s="85"/>
      <c r="G246" s="85"/>
      <c r="H246" s="85"/>
      <c r="I246" s="86"/>
      <c r="J246" s="85" t="s">
        <v>81</v>
      </c>
      <c r="K246" s="85" t="s">
        <v>166</v>
      </c>
      <c r="L246" s="85" t="s">
        <v>185</v>
      </c>
      <c r="M246" s="467">
        <v>16.194248333333334</v>
      </c>
      <c r="N246" s="467"/>
      <c r="O246" s="468">
        <v>940</v>
      </c>
      <c r="P246" s="468"/>
      <c r="Q246" s="499">
        <f t="shared" si="10"/>
        <v>15222.593433333333</v>
      </c>
      <c r="R246" s="500" t="str">
        <f t="shared" si="11"/>
        <v/>
      </c>
    </row>
    <row r="247" spans="2:18" hidden="1">
      <c r="B247" s="84">
        <v>237</v>
      </c>
      <c r="C247" s="498" t="s">
        <v>439</v>
      </c>
      <c r="D247" s="718">
        <f t="shared" si="9"/>
        <v>22</v>
      </c>
      <c r="E247" s="684">
        <v>45075</v>
      </c>
      <c r="F247" s="85" t="s">
        <v>107</v>
      </c>
      <c r="G247" s="85" t="s">
        <v>97</v>
      </c>
      <c r="H247" s="85" t="s">
        <v>344</v>
      </c>
      <c r="I247" s="86"/>
      <c r="J247" s="85" t="s">
        <v>74</v>
      </c>
      <c r="K247" s="85" t="s">
        <v>77</v>
      </c>
      <c r="L247" s="85" t="s">
        <v>91</v>
      </c>
      <c r="M247" s="467"/>
      <c r="N247" s="467">
        <v>7</v>
      </c>
      <c r="O247" s="468"/>
      <c r="P247" s="468">
        <v>15000</v>
      </c>
      <c r="Q247" s="499" t="str">
        <f t="shared" si="10"/>
        <v/>
      </c>
      <c r="R247" s="500">
        <f t="shared" si="11"/>
        <v>105000</v>
      </c>
    </row>
    <row r="248" spans="2:18" hidden="1">
      <c r="B248" s="84">
        <v>238</v>
      </c>
      <c r="C248" s="498"/>
      <c r="D248" s="718">
        <f t="shared" si="9"/>
        <v>22</v>
      </c>
      <c r="E248" s="684">
        <v>45076</v>
      </c>
      <c r="F248" s="85"/>
      <c r="G248" s="85"/>
      <c r="H248" s="85"/>
      <c r="I248" s="86"/>
      <c r="J248" s="85" t="s">
        <v>81</v>
      </c>
      <c r="K248" s="85" t="s">
        <v>652</v>
      </c>
      <c r="L248" s="85" t="s">
        <v>185</v>
      </c>
      <c r="M248" s="467">
        <v>247.18544827008316</v>
      </c>
      <c r="N248" s="467"/>
      <c r="O248" s="468">
        <v>400</v>
      </c>
      <c r="P248" s="468"/>
      <c r="Q248" s="499">
        <f t="shared" si="10"/>
        <v>98874.179308033257</v>
      </c>
      <c r="R248" s="500" t="str">
        <f t="shared" si="11"/>
        <v/>
      </c>
    </row>
    <row r="249" spans="2:18" hidden="1">
      <c r="B249" s="84">
        <v>239</v>
      </c>
      <c r="C249" s="498">
        <v>635</v>
      </c>
      <c r="D249" s="718">
        <f t="shared" si="9"/>
        <v>22</v>
      </c>
      <c r="E249" s="684">
        <v>45076</v>
      </c>
      <c r="F249" s="85" t="s">
        <v>112</v>
      </c>
      <c r="G249" s="85" t="s">
        <v>114</v>
      </c>
      <c r="H249" s="85" t="s">
        <v>114</v>
      </c>
      <c r="I249" s="167" t="s">
        <v>447</v>
      </c>
      <c r="J249" s="85" t="s">
        <v>74</v>
      </c>
      <c r="K249" s="85" t="s">
        <v>56</v>
      </c>
      <c r="L249" s="85" t="s">
        <v>91</v>
      </c>
      <c r="M249" s="467"/>
      <c r="N249" s="467">
        <v>40</v>
      </c>
      <c r="O249" s="468"/>
      <c r="P249" s="501">
        <v>1000</v>
      </c>
      <c r="Q249" s="499" t="str">
        <f t="shared" si="10"/>
        <v/>
      </c>
      <c r="R249" s="500">
        <f t="shared" si="11"/>
        <v>40000</v>
      </c>
    </row>
    <row r="250" spans="2:18" hidden="1">
      <c r="B250" s="84">
        <v>240</v>
      </c>
      <c r="C250" s="498"/>
      <c r="D250" s="718">
        <f t="shared" si="9"/>
        <v>22</v>
      </c>
      <c r="E250" s="684">
        <v>45076</v>
      </c>
      <c r="F250" s="85"/>
      <c r="G250" s="85"/>
      <c r="H250" s="85"/>
      <c r="I250" s="86"/>
      <c r="J250" s="85" t="s">
        <v>74</v>
      </c>
      <c r="K250" s="85" t="s">
        <v>164</v>
      </c>
      <c r="L250" s="85" t="s">
        <v>165</v>
      </c>
      <c r="M250" s="467"/>
      <c r="N250" s="467"/>
      <c r="O250" s="468"/>
      <c r="P250" s="503">
        <v>3</v>
      </c>
      <c r="Q250" s="499" t="str">
        <f t="shared" si="10"/>
        <v/>
      </c>
      <c r="R250" s="500" t="str">
        <f t="shared" si="11"/>
        <v/>
      </c>
    </row>
    <row r="251" spans="2:18" hidden="1">
      <c r="B251" s="84">
        <v>241</v>
      </c>
      <c r="C251" s="498"/>
      <c r="D251" s="718">
        <f t="shared" si="9"/>
        <v>22</v>
      </c>
      <c r="E251" s="684">
        <v>45077</v>
      </c>
      <c r="F251" s="85"/>
      <c r="G251" s="85"/>
      <c r="H251" s="85"/>
      <c r="I251" s="86"/>
      <c r="J251" s="85" t="s">
        <v>81</v>
      </c>
      <c r="K251" s="85" t="s">
        <v>652</v>
      </c>
      <c r="L251" s="85" t="s">
        <v>185</v>
      </c>
      <c r="M251" s="467">
        <v>247.18544827008316</v>
      </c>
      <c r="N251" s="467"/>
      <c r="O251" s="468">
        <v>400</v>
      </c>
      <c r="P251" s="468"/>
      <c r="Q251" s="499">
        <f t="shared" si="10"/>
        <v>98874.179308033257</v>
      </c>
      <c r="R251" s="500" t="str">
        <f t="shared" si="11"/>
        <v/>
      </c>
    </row>
    <row r="252" spans="2:18" hidden="1">
      <c r="B252" s="84">
        <v>242</v>
      </c>
      <c r="C252" s="498">
        <v>636</v>
      </c>
      <c r="D252" s="718">
        <f t="shared" si="9"/>
        <v>22</v>
      </c>
      <c r="E252" s="684">
        <v>45077</v>
      </c>
      <c r="F252" s="85" t="s">
        <v>112</v>
      </c>
      <c r="G252" s="85" t="s">
        <v>114</v>
      </c>
      <c r="H252" s="85" t="s">
        <v>114</v>
      </c>
      <c r="I252" s="167" t="s">
        <v>444</v>
      </c>
      <c r="J252" s="85" t="s">
        <v>74</v>
      </c>
      <c r="K252" s="85" t="s">
        <v>652</v>
      </c>
      <c r="L252" s="85" t="s">
        <v>185</v>
      </c>
      <c r="M252" s="467"/>
      <c r="N252" s="467">
        <v>299</v>
      </c>
      <c r="O252" s="468"/>
      <c r="P252" s="468">
        <v>600</v>
      </c>
      <c r="Q252" s="499" t="str">
        <f t="shared" si="10"/>
        <v/>
      </c>
      <c r="R252" s="500">
        <f t="shared" si="11"/>
        <v>179400</v>
      </c>
    </row>
    <row r="253" spans="2:18" hidden="1">
      <c r="B253" s="84">
        <v>243</v>
      </c>
      <c r="C253" s="498"/>
      <c r="D253" s="718">
        <f t="shared" si="9"/>
        <v>22</v>
      </c>
      <c r="E253" s="684">
        <v>45077</v>
      </c>
      <c r="F253" s="85"/>
      <c r="G253" s="85"/>
      <c r="H253" s="85"/>
      <c r="I253" s="86"/>
      <c r="J253" s="85" t="s">
        <v>81</v>
      </c>
      <c r="K253" s="85" t="s">
        <v>77</v>
      </c>
      <c r="L253" s="85" t="s">
        <v>91</v>
      </c>
      <c r="M253" s="467">
        <v>5.8</v>
      </c>
      <c r="N253" s="467"/>
      <c r="O253" s="468">
        <v>6000</v>
      </c>
      <c r="P253" s="468"/>
      <c r="Q253" s="499">
        <f t="shared" si="10"/>
        <v>34800</v>
      </c>
      <c r="R253" s="500" t="str">
        <f t="shared" si="11"/>
        <v/>
      </c>
    </row>
    <row r="254" spans="2:18" hidden="1">
      <c r="B254" s="84">
        <v>244</v>
      </c>
      <c r="C254" s="498"/>
      <c r="D254" s="718">
        <f t="shared" si="9"/>
        <v>22</v>
      </c>
      <c r="E254" s="684">
        <v>45078</v>
      </c>
      <c r="F254" s="85"/>
      <c r="G254" s="85"/>
      <c r="H254" s="85"/>
      <c r="I254" s="86"/>
      <c r="J254" s="85" t="s">
        <v>81</v>
      </c>
      <c r="K254" s="85" t="s">
        <v>652</v>
      </c>
      <c r="L254" s="85" t="s">
        <v>185</v>
      </c>
      <c r="M254" s="467">
        <v>247.18544827008316</v>
      </c>
      <c r="N254" s="467"/>
      <c r="O254" s="468">
        <v>400</v>
      </c>
      <c r="P254" s="468"/>
      <c r="Q254" s="499">
        <f t="shared" si="10"/>
        <v>98874.179308033257</v>
      </c>
      <c r="R254" s="500" t="str">
        <f t="shared" si="11"/>
        <v/>
      </c>
    </row>
    <row r="255" spans="2:18" hidden="1">
      <c r="B255" s="84">
        <v>245</v>
      </c>
      <c r="C255" s="498"/>
      <c r="D255" s="718">
        <f t="shared" si="9"/>
        <v>22</v>
      </c>
      <c r="E255" s="684">
        <v>45079</v>
      </c>
      <c r="F255" s="85"/>
      <c r="G255" s="85"/>
      <c r="H255" s="85"/>
      <c r="I255" s="86"/>
      <c r="J255" s="85" t="s">
        <v>74</v>
      </c>
      <c r="K255" s="85" t="s">
        <v>162</v>
      </c>
      <c r="L255" s="85" t="s">
        <v>163</v>
      </c>
      <c r="M255" s="467"/>
      <c r="N255" s="467">
        <v>25000</v>
      </c>
      <c r="O255" s="468"/>
      <c r="P255" s="468">
        <f>(225+290+390)/1000</f>
        <v>0.90500000000000003</v>
      </c>
      <c r="Q255" s="499" t="str">
        <f t="shared" si="10"/>
        <v/>
      </c>
      <c r="R255" s="500">
        <f t="shared" si="11"/>
        <v>22625</v>
      </c>
    </row>
    <row r="256" spans="2:18" hidden="1">
      <c r="B256" s="84">
        <v>246</v>
      </c>
      <c r="C256" s="498"/>
      <c r="D256" s="718">
        <f t="shared" si="9"/>
        <v>22</v>
      </c>
      <c r="E256" s="684">
        <v>45079</v>
      </c>
      <c r="F256" s="85" t="s">
        <v>113</v>
      </c>
      <c r="G256" s="85" t="s">
        <v>281</v>
      </c>
      <c r="H256" s="85" t="s">
        <v>281</v>
      </c>
      <c r="I256" s="86"/>
      <c r="J256" s="85" t="s">
        <v>74</v>
      </c>
      <c r="K256" s="85" t="s">
        <v>162</v>
      </c>
      <c r="L256" s="85" t="s">
        <v>163</v>
      </c>
      <c r="M256" s="467"/>
      <c r="N256" s="467">
        <v>42000</v>
      </c>
      <c r="O256" s="468"/>
      <c r="P256" s="468">
        <f>250/1000</f>
        <v>0.25</v>
      </c>
      <c r="Q256" s="499" t="str">
        <f t="shared" si="10"/>
        <v/>
      </c>
      <c r="R256" s="500">
        <f t="shared" si="11"/>
        <v>10500</v>
      </c>
    </row>
    <row r="257" spans="2:18" hidden="1">
      <c r="B257" s="84">
        <v>247</v>
      </c>
      <c r="C257" s="1270" t="s">
        <v>449</v>
      </c>
      <c r="D257" s="718">
        <f t="shared" si="9"/>
        <v>22</v>
      </c>
      <c r="E257" s="684">
        <v>45079</v>
      </c>
      <c r="F257" s="85" t="s">
        <v>105</v>
      </c>
      <c r="G257" s="85" t="s">
        <v>9</v>
      </c>
      <c r="H257" s="85" t="s">
        <v>321</v>
      </c>
      <c r="I257" s="86"/>
      <c r="J257" s="85" t="s">
        <v>74</v>
      </c>
      <c r="K257" s="85" t="s">
        <v>87</v>
      </c>
      <c r="L257" s="85" t="s">
        <v>91</v>
      </c>
      <c r="M257" s="467"/>
      <c r="N257" s="467">
        <v>1.2</v>
      </c>
      <c r="O257" s="468"/>
      <c r="P257" s="468">
        <v>10000</v>
      </c>
      <c r="Q257" s="499" t="str">
        <f t="shared" si="10"/>
        <v/>
      </c>
      <c r="R257" s="500">
        <f t="shared" si="11"/>
        <v>12000</v>
      </c>
    </row>
    <row r="258" spans="2:18" hidden="1">
      <c r="B258" s="84">
        <v>248</v>
      </c>
      <c r="C258" s="498"/>
      <c r="D258" s="718">
        <f t="shared" si="9"/>
        <v>22</v>
      </c>
      <c r="E258" s="684">
        <v>45079</v>
      </c>
      <c r="F258" s="85"/>
      <c r="G258" s="85"/>
      <c r="H258" s="85"/>
      <c r="I258" s="86"/>
      <c r="J258" s="85" t="s">
        <v>81</v>
      </c>
      <c r="K258" s="85" t="s">
        <v>652</v>
      </c>
      <c r="L258" s="85" t="s">
        <v>185</v>
      </c>
      <c r="M258" s="467">
        <v>247.18544827008316</v>
      </c>
      <c r="N258" s="467"/>
      <c r="O258" s="468">
        <v>200</v>
      </c>
      <c r="P258" s="468"/>
      <c r="Q258" s="499">
        <f t="shared" si="10"/>
        <v>49437.089654016629</v>
      </c>
      <c r="R258" s="500" t="str">
        <f t="shared" si="11"/>
        <v/>
      </c>
    </row>
    <row r="259" spans="2:18" hidden="1">
      <c r="B259" s="84">
        <v>249</v>
      </c>
      <c r="C259" s="498"/>
      <c r="D259" s="718">
        <f t="shared" si="9"/>
        <v>22</v>
      </c>
      <c r="E259" s="684">
        <v>45080</v>
      </c>
      <c r="F259" s="85"/>
      <c r="G259" s="85"/>
      <c r="H259" s="85"/>
      <c r="I259" s="86"/>
      <c r="J259" s="85" t="s">
        <v>81</v>
      </c>
      <c r="K259" s="85" t="s">
        <v>162</v>
      </c>
      <c r="L259" s="85" t="s">
        <v>163</v>
      </c>
      <c r="M259" s="467">
        <v>17000</v>
      </c>
      <c r="N259" s="467"/>
      <c r="O259" s="468">
        <f>(265+180+215+205)/1000</f>
        <v>0.86499999999999999</v>
      </c>
      <c r="P259" s="468"/>
      <c r="Q259" s="499">
        <f t="shared" si="10"/>
        <v>14705</v>
      </c>
      <c r="R259" s="500" t="str">
        <f t="shared" si="11"/>
        <v/>
      </c>
    </row>
    <row r="260" spans="2:18" hidden="1">
      <c r="B260" s="84">
        <v>250</v>
      </c>
      <c r="C260" s="498"/>
      <c r="D260" s="718">
        <f t="shared" si="9"/>
        <v>23</v>
      </c>
      <c r="E260" s="684">
        <v>45082</v>
      </c>
      <c r="F260" s="85"/>
      <c r="G260" s="85"/>
      <c r="H260" s="85"/>
      <c r="I260" s="86"/>
      <c r="J260" s="85" t="s">
        <v>81</v>
      </c>
      <c r="K260" s="85" t="s">
        <v>56</v>
      </c>
      <c r="L260" s="85" t="s">
        <v>91</v>
      </c>
      <c r="M260" s="467">
        <v>27.769467619047621</v>
      </c>
      <c r="N260" s="467"/>
      <c r="O260" s="468">
        <v>2000</v>
      </c>
      <c r="P260" s="468"/>
      <c r="Q260" s="499">
        <f t="shared" si="10"/>
        <v>55538.93523809524</v>
      </c>
      <c r="R260" s="500" t="str">
        <f t="shared" si="11"/>
        <v/>
      </c>
    </row>
    <row r="261" spans="2:18" hidden="1">
      <c r="B261" s="84">
        <v>251</v>
      </c>
      <c r="C261" s="498">
        <v>637</v>
      </c>
      <c r="D261" s="718">
        <f t="shared" si="9"/>
        <v>23</v>
      </c>
      <c r="E261" s="684">
        <v>45082</v>
      </c>
      <c r="F261" s="85" t="s">
        <v>111</v>
      </c>
      <c r="G261" s="85" t="s">
        <v>426</v>
      </c>
      <c r="H261" s="85" t="s">
        <v>426</v>
      </c>
      <c r="I261" s="167" t="s">
        <v>445</v>
      </c>
      <c r="J261" s="85" t="s">
        <v>74</v>
      </c>
      <c r="K261" s="85" t="s">
        <v>56</v>
      </c>
      <c r="L261" s="85" t="s">
        <v>91</v>
      </c>
      <c r="M261" s="467"/>
      <c r="N261" s="467">
        <v>40</v>
      </c>
      <c r="O261" s="468"/>
      <c r="P261" s="468">
        <v>140</v>
      </c>
      <c r="Q261" s="499" t="str">
        <f t="shared" si="10"/>
        <v/>
      </c>
      <c r="R261" s="500">
        <f t="shared" si="11"/>
        <v>5600</v>
      </c>
    </row>
    <row r="262" spans="2:18" hidden="1">
      <c r="B262" s="84">
        <v>252</v>
      </c>
      <c r="C262" s="498"/>
      <c r="D262" s="718">
        <f t="shared" si="9"/>
        <v>23</v>
      </c>
      <c r="E262" s="684">
        <v>45083</v>
      </c>
      <c r="F262" s="85"/>
      <c r="G262" s="85"/>
      <c r="H262" s="85"/>
      <c r="I262" s="86"/>
      <c r="J262" s="85" t="s">
        <v>81</v>
      </c>
      <c r="K262" s="85" t="s">
        <v>56</v>
      </c>
      <c r="L262" s="85" t="s">
        <v>91</v>
      </c>
      <c r="M262" s="467">
        <v>27.769467619047621</v>
      </c>
      <c r="N262" s="467"/>
      <c r="O262" s="468">
        <v>2000</v>
      </c>
      <c r="P262" s="468"/>
      <c r="Q262" s="499">
        <f t="shared" si="10"/>
        <v>55538.93523809524</v>
      </c>
      <c r="R262" s="500" t="str">
        <f t="shared" si="11"/>
        <v/>
      </c>
    </row>
    <row r="263" spans="2:18" hidden="1">
      <c r="B263" s="84">
        <v>253</v>
      </c>
      <c r="C263" s="498"/>
      <c r="D263" s="718">
        <f t="shared" si="9"/>
        <v>23</v>
      </c>
      <c r="E263" s="684">
        <v>45084</v>
      </c>
      <c r="F263" s="85"/>
      <c r="G263" s="85"/>
      <c r="H263" s="85"/>
      <c r="I263" s="86"/>
      <c r="J263" s="85" t="s">
        <v>74</v>
      </c>
      <c r="K263" s="85" t="s">
        <v>164</v>
      </c>
      <c r="L263" s="85" t="s">
        <v>165</v>
      </c>
      <c r="M263" s="467"/>
      <c r="N263" s="467">
        <v>82.5</v>
      </c>
      <c r="O263" s="468"/>
      <c r="P263" s="468">
        <f>40+2</f>
        <v>42</v>
      </c>
      <c r="Q263" s="499" t="str">
        <f t="shared" si="10"/>
        <v/>
      </c>
      <c r="R263" s="500">
        <f t="shared" si="11"/>
        <v>3465</v>
      </c>
    </row>
    <row r="264" spans="2:18" hidden="1">
      <c r="B264" s="84">
        <v>254</v>
      </c>
      <c r="C264" s="498">
        <v>640</v>
      </c>
      <c r="D264" s="718">
        <f t="shared" si="9"/>
        <v>23</v>
      </c>
      <c r="E264" s="684">
        <v>45085</v>
      </c>
      <c r="F264" s="85" t="s">
        <v>112</v>
      </c>
      <c r="G264" s="85" t="s">
        <v>114</v>
      </c>
      <c r="H264" s="85" t="s">
        <v>114</v>
      </c>
      <c r="I264" s="167" t="s">
        <v>452</v>
      </c>
      <c r="J264" s="85" t="s">
        <v>74</v>
      </c>
      <c r="K264" s="85" t="s">
        <v>652</v>
      </c>
      <c r="L264" s="85" t="s">
        <v>185</v>
      </c>
      <c r="M264" s="467"/>
      <c r="N264" s="467">
        <v>299</v>
      </c>
      <c r="O264" s="468"/>
      <c r="P264" s="468">
        <v>400</v>
      </c>
      <c r="Q264" s="499" t="str">
        <f t="shared" si="10"/>
        <v/>
      </c>
      <c r="R264" s="500">
        <f t="shared" si="11"/>
        <v>119600</v>
      </c>
    </row>
    <row r="265" spans="2:18" hidden="1">
      <c r="B265" s="84">
        <v>255</v>
      </c>
      <c r="C265" s="498">
        <v>638</v>
      </c>
      <c r="D265" s="718">
        <f t="shared" si="9"/>
        <v>23</v>
      </c>
      <c r="E265" s="684">
        <v>45085</v>
      </c>
      <c r="F265" s="85" t="s">
        <v>113</v>
      </c>
      <c r="G265" s="85" t="s">
        <v>276</v>
      </c>
      <c r="H265" s="85" t="s">
        <v>276</v>
      </c>
      <c r="I265" s="167"/>
      <c r="J265" s="85" t="s">
        <v>74</v>
      </c>
      <c r="K265" s="85" t="s">
        <v>166</v>
      </c>
      <c r="L265" s="85" t="s">
        <v>185</v>
      </c>
      <c r="M265" s="467"/>
      <c r="N265" s="467">
        <v>17</v>
      </c>
      <c r="O265" s="468"/>
      <c r="P265" s="468">
        <v>1500</v>
      </c>
      <c r="Q265" s="499" t="str">
        <f t="shared" si="10"/>
        <v/>
      </c>
      <c r="R265" s="500">
        <f t="shared" si="11"/>
        <v>25500</v>
      </c>
    </row>
    <row r="266" spans="2:18" hidden="1">
      <c r="B266" s="84">
        <v>256</v>
      </c>
      <c r="C266" s="498">
        <v>639</v>
      </c>
      <c r="D266" s="718">
        <f t="shared" si="9"/>
        <v>23</v>
      </c>
      <c r="E266" s="684">
        <v>45085</v>
      </c>
      <c r="F266" s="85" t="s">
        <v>113</v>
      </c>
      <c r="G266" s="85" t="s">
        <v>276</v>
      </c>
      <c r="H266" s="85" t="s">
        <v>276</v>
      </c>
      <c r="I266" s="167" t="s">
        <v>71</v>
      </c>
      <c r="J266" s="85" t="s">
        <v>74</v>
      </c>
      <c r="K266" s="85" t="s">
        <v>56</v>
      </c>
      <c r="L266" s="85" t="s">
        <v>91</v>
      </c>
      <c r="M266" s="467"/>
      <c r="N266" s="467">
        <v>80</v>
      </c>
      <c r="O266" s="468"/>
      <c r="P266" s="468">
        <v>2200</v>
      </c>
      <c r="Q266" s="499" t="str">
        <f t="shared" si="10"/>
        <v/>
      </c>
      <c r="R266" s="500">
        <f t="shared" si="11"/>
        <v>176000</v>
      </c>
    </row>
    <row r="267" spans="2:18" hidden="1">
      <c r="B267" s="84">
        <v>257</v>
      </c>
      <c r="C267" s="498">
        <v>641</v>
      </c>
      <c r="D267" s="718">
        <f t="shared" ref="D267:D330" si="12">WEEKNUM(E267,21)</f>
        <v>23</v>
      </c>
      <c r="E267" s="684">
        <v>45086</v>
      </c>
      <c r="F267" s="85" t="s">
        <v>112</v>
      </c>
      <c r="G267" s="85" t="s">
        <v>114</v>
      </c>
      <c r="H267" s="85" t="s">
        <v>114</v>
      </c>
      <c r="I267" s="167" t="s">
        <v>453</v>
      </c>
      <c r="J267" s="85" t="s">
        <v>74</v>
      </c>
      <c r="K267" s="85" t="s">
        <v>56</v>
      </c>
      <c r="L267" s="85" t="s">
        <v>91</v>
      </c>
      <c r="M267" s="467"/>
      <c r="N267" s="467">
        <v>40</v>
      </c>
      <c r="O267" s="468"/>
      <c r="P267" s="468">
        <v>1800</v>
      </c>
      <c r="Q267" s="499" t="str">
        <f t="shared" ref="Q267:Q330" si="13">IF((M267*O267)&lt;=0,"",(M267*O267))</f>
        <v/>
      </c>
      <c r="R267" s="500">
        <f t="shared" ref="R267:R330" si="14">IF((N267*P267)&lt;=0,"",(N267*P267))</f>
        <v>72000</v>
      </c>
    </row>
    <row r="268" spans="2:18" hidden="1">
      <c r="B268" s="84">
        <v>258</v>
      </c>
      <c r="C268" s="498"/>
      <c r="D268" s="718">
        <f t="shared" si="12"/>
        <v>23</v>
      </c>
      <c r="E268" s="684">
        <v>45087</v>
      </c>
      <c r="F268" s="85"/>
      <c r="G268" s="85"/>
      <c r="H268" s="85"/>
      <c r="I268" s="86"/>
      <c r="J268" s="85" t="s">
        <v>81</v>
      </c>
      <c r="K268" s="85" t="s">
        <v>162</v>
      </c>
      <c r="L268" s="85" t="s">
        <v>163</v>
      </c>
      <c r="M268" s="467">
        <v>17000</v>
      </c>
      <c r="N268" s="467"/>
      <c r="O268" s="468">
        <f>(330+305+340+153)/1000</f>
        <v>1.1279999999999999</v>
      </c>
      <c r="P268" s="468"/>
      <c r="Q268" s="499">
        <f t="shared" si="13"/>
        <v>19175.999999999996</v>
      </c>
      <c r="R268" s="500" t="str">
        <f t="shared" si="14"/>
        <v/>
      </c>
    </row>
    <row r="269" spans="2:18" hidden="1">
      <c r="B269" s="84">
        <v>259</v>
      </c>
      <c r="C269" s="498"/>
      <c r="D269" s="718">
        <f t="shared" si="12"/>
        <v>23</v>
      </c>
      <c r="E269" s="684">
        <v>45087</v>
      </c>
      <c r="F269" s="85" t="s">
        <v>277</v>
      </c>
      <c r="G269" s="85" t="s">
        <v>361</v>
      </c>
      <c r="H269" s="85" t="s">
        <v>283</v>
      </c>
      <c r="I269" s="86"/>
      <c r="J269" s="85" t="s">
        <v>74</v>
      </c>
      <c r="K269" s="85" t="s">
        <v>162</v>
      </c>
      <c r="L269" s="85" t="s">
        <v>163</v>
      </c>
      <c r="M269" s="467"/>
      <c r="N269" s="467"/>
      <c r="O269" s="468"/>
      <c r="P269" s="468">
        <f>110/1000</f>
        <v>0.11</v>
      </c>
      <c r="Q269" s="499" t="str">
        <f t="shared" si="13"/>
        <v/>
      </c>
      <c r="R269" s="500" t="str">
        <f t="shared" si="14"/>
        <v/>
      </c>
    </row>
    <row r="270" spans="2:18" hidden="1">
      <c r="B270" s="84">
        <v>260</v>
      </c>
      <c r="C270" s="498"/>
      <c r="D270" s="718">
        <f t="shared" si="12"/>
        <v>23</v>
      </c>
      <c r="E270" s="684">
        <v>45087</v>
      </c>
      <c r="F270" s="85"/>
      <c r="G270" s="85"/>
      <c r="H270" s="85"/>
      <c r="I270" s="86"/>
      <c r="J270" s="85" t="s">
        <v>74</v>
      </c>
      <c r="K270" s="85" t="s">
        <v>162</v>
      </c>
      <c r="L270" s="85" t="s">
        <v>163</v>
      </c>
      <c r="M270" s="467"/>
      <c r="N270" s="467">
        <v>25000</v>
      </c>
      <c r="O270" s="468"/>
      <c r="P270" s="468">
        <f>(200+350+100)/1000</f>
        <v>0.65</v>
      </c>
      <c r="Q270" s="499" t="str">
        <f t="shared" si="13"/>
        <v/>
      </c>
      <c r="R270" s="500">
        <f t="shared" si="14"/>
        <v>16250</v>
      </c>
    </row>
    <row r="271" spans="2:18" hidden="1">
      <c r="B271" s="84">
        <v>261</v>
      </c>
      <c r="C271" s="498"/>
      <c r="D271" s="718">
        <f t="shared" si="12"/>
        <v>23</v>
      </c>
      <c r="E271" s="684">
        <v>45087</v>
      </c>
      <c r="F271" s="85" t="s">
        <v>113</v>
      </c>
      <c r="G271" s="85" t="s">
        <v>280</v>
      </c>
      <c r="H271" s="85" t="s">
        <v>280</v>
      </c>
      <c r="I271" s="86"/>
      <c r="J271" s="85" t="s">
        <v>74</v>
      </c>
      <c r="K271" s="85" t="s">
        <v>162</v>
      </c>
      <c r="L271" s="85" t="s">
        <v>163</v>
      </c>
      <c r="M271" s="467"/>
      <c r="N271" s="467">
        <v>42000</v>
      </c>
      <c r="O271" s="468"/>
      <c r="P271" s="468">
        <f>250/1000</f>
        <v>0.25</v>
      </c>
      <c r="Q271" s="499" t="str">
        <f t="shared" si="13"/>
        <v/>
      </c>
      <c r="R271" s="500">
        <f t="shared" si="14"/>
        <v>10500</v>
      </c>
    </row>
    <row r="272" spans="2:18" hidden="1">
      <c r="B272" s="84">
        <v>262</v>
      </c>
      <c r="C272" s="498"/>
      <c r="D272" s="718">
        <f t="shared" si="12"/>
        <v>23</v>
      </c>
      <c r="E272" s="684">
        <v>45087</v>
      </c>
      <c r="F272" s="85"/>
      <c r="G272" s="85"/>
      <c r="H272" s="85"/>
      <c r="I272" s="86"/>
      <c r="J272" s="85" t="s">
        <v>81</v>
      </c>
      <c r="K272" s="85" t="s">
        <v>87</v>
      </c>
      <c r="L272" s="85" t="s">
        <v>91</v>
      </c>
      <c r="M272" s="467">
        <v>0.75</v>
      </c>
      <c r="N272" s="467"/>
      <c r="O272" s="468">
        <v>15000</v>
      </c>
      <c r="P272" s="468"/>
      <c r="Q272" s="499">
        <f t="shared" si="13"/>
        <v>11250</v>
      </c>
      <c r="R272" s="500" t="str">
        <f t="shared" si="14"/>
        <v/>
      </c>
    </row>
    <row r="273" spans="2:18" hidden="1">
      <c r="B273" s="84">
        <v>263</v>
      </c>
      <c r="C273" s="506">
        <v>12000</v>
      </c>
      <c r="D273" s="718">
        <f t="shared" si="12"/>
        <v>23</v>
      </c>
      <c r="E273" s="684">
        <v>45087</v>
      </c>
      <c r="F273" s="85" t="s">
        <v>105</v>
      </c>
      <c r="G273" s="85" t="s">
        <v>9</v>
      </c>
      <c r="H273" s="85" t="s">
        <v>319</v>
      </c>
      <c r="I273" s="86"/>
      <c r="J273" s="85" t="s">
        <v>74</v>
      </c>
      <c r="K273" s="85" t="s">
        <v>85</v>
      </c>
      <c r="L273" s="85" t="s">
        <v>91</v>
      </c>
      <c r="M273" s="467"/>
      <c r="N273" s="467">
        <v>2</v>
      </c>
      <c r="O273" s="468"/>
      <c r="P273" s="468">
        <v>3000</v>
      </c>
      <c r="Q273" s="499" t="str">
        <f t="shared" si="13"/>
        <v/>
      </c>
      <c r="R273" s="500">
        <f t="shared" si="14"/>
        <v>6000</v>
      </c>
    </row>
    <row r="274" spans="2:18" hidden="1">
      <c r="B274" s="84">
        <v>264</v>
      </c>
      <c r="C274" s="498"/>
      <c r="D274" s="718">
        <f t="shared" si="12"/>
        <v>23</v>
      </c>
      <c r="E274" s="684">
        <v>45087</v>
      </c>
      <c r="F274" s="85" t="s">
        <v>440</v>
      </c>
      <c r="G274" s="85" t="s">
        <v>441</v>
      </c>
      <c r="H274" s="85" t="s">
        <v>91</v>
      </c>
      <c r="I274" s="86"/>
      <c r="J274" s="85" t="s">
        <v>74</v>
      </c>
      <c r="K274" s="85" t="s">
        <v>87</v>
      </c>
      <c r="L274" s="85" t="s">
        <v>91</v>
      </c>
      <c r="M274" s="467"/>
      <c r="N274" s="467"/>
      <c r="O274" s="468"/>
      <c r="P274" s="505">
        <v>1500</v>
      </c>
      <c r="Q274" s="499" t="str">
        <f t="shared" si="13"/>
        <v/>
      </c>
      <c r="R274" s="500" t="str">
        <f t="shared" si="14"/>
        <v/>
      </c>
    </row>
    <row r="275" spans="2:18" hidden="1">
      <c r="B275" s="84">
        <v>265</v>
      </c>
      <c r="C275" s="498"/>
      <c r="D275" s="718">
        <f t="shared" si="12"/>
        <v>23</v>
      </c>
      <c r="E275" s="684">
        <v>45087</v>
      </c>
      <c r="F275" s="85"/>
      <c r="G275" s="85"/>
      <c r="H275" s="85"/>
      <c r="I275" s="86"/>
      <c r="J275" s="85" t="s">
        <v>81</v>
      </c>
      <c r="K275" s="85" t="s">
        <v>164</v>
      </c>
      <c r="L275" s="85" t="s">
        <v>165</v>
      </c>
      <c r="M275" s="467">
        <v>287.6268905420971</v>
      </c>
      <c r="N275" s="467"/>
      <c r="O275" s="468">
        <f>(19.07+53.57+87.67+88.34+17.7+83.1)</f>
        <v>349.45000000000005</v>
      </c>
      <c r="P275" s="468"/>
      <c r="Q275" s="499">
        <f t="shared" si="13"/>
        <v>100511.21689993584</v>
      </c>
      <c r="R275" s="500" t="str">
        <f t="shared" si="14"/>
        <v/>
      </c>
    </row>
    <row r="276" spans="2:18" hidden="1">
      <c r="B276" s="84">
        <v>266</v>
      </c>
      <c r="C276" s="498"/>
      <c r="D276" s="718">
        <f t="shared" si="12"/>
        <v>24</v>
      </c>
      <c r="E276" s="684">
        <v>45089</v>
      </c>
      <c r="F276" s="85"/>
      <c r="G276" s="85"/>
      <c r="H276" s="85"/>
      <c r="I276" s="86"/>
      <c r="J276" s="85" t="s">
        <v>74</v>
      </c>
      <c r="K276" s="85" t="s">
        <v>164</v>
      </c>
      <c r="L276" s="85" t="s">
        <v>165</v>
      </c>
      <c r="M276" s="467"/>
      <c r="N276" s="467"/>
      <c r="O276" s="468"/>
      <c r="P276" s="503">
        <f>1</f>
        <v>1</v>
      </c>
      <c r="Q276" s="499" t="str">
        <f t="shared" si="13"/>
        <v/>
      </c>
      <c r="R276" s="500" t="str">
        <f t="shared" si="14"/>
        <v/>
      </c>
    </row>
    <row r="277" spans="2:18" hidden="1">
      <c r="B277" s="84">
        <v>267</v>
      </c>
      <c r="C277" s="506">
        <v>8835</v>
      </c>
      <c r="D277" s="718">
        <f t="shared" si="12"/>
        <v>24</v>
      </c>
      <c r="E277" s="684">
        <v>45091</v>
      </c>
      <c r="F277" s="85" t="s">
        <v>105</v>
      </c>
      <c r="G277" s="85" t="s">
        <v>9</v>
      </c>
      <c r="H277" s="85" t="s">
        <v>314</v>
      </c>
      <c r="I277" s="86"/>
      <c r="J277" s="85" t="s">
        <v>74</v>
      </c>
      <c r="K277" s="85" t="s">
        <v>87</v>
      </c>
      <c r="L277" s="85" t="s">
        <v>91</v>
      </c>
      <c r="M277" s="467"/>
      <c r="N277" s="467">
        <v>1.2</v>
      </c>
      <c r="O277" s="468"/>
      <c r="P277" s="468">
        <v>10000</v>
      </c>
      <c r="Q277" s="499" t="str">
        <f t="shared" si="13"/>
        <v/>
      </c>
      <c r="R277" s="500">
        <f t="shared" si="14"/>
        <v>12000</v>
      </c>
    </row>
    <row r="278" spans="2:18" hidden="1">
      <c r="B278" s="84">
        <v>268</v>
      </c>
      <c r="C278" s="498" t="s">
        <v>450</v>
      </c>
      <c r="D278" s="718">
        <f t="shared" si="12"/>
        <v>24</v>
      </c>
      <c r="E278" s="684">
        <v>45093</v>
      </c>
      <c r="F278" s="85" t="s">
        <v>107</v>
      </c>
      <c r="G278" s="85" t="s">
        <v>97</v>
      </c>
      <c r="H278" s="85" t="s">
        <v>338</v>
      </c>
      <c r="I278" s="86"/>
      <c r="J278" s="85" t="s">
        <v>74</v>
      </c>
      <c r="K278" s="85" t="s">
        <v>77</v>
      </c>
      <c r="L278" s="85" t="s">
        <v>91</v>
      </c>
      <c r="M278" s="467"/>
      <c r="N278" s="467">
        <v>7</v>
      </c>
      <c r="O278" s="468"/>
      <c r="P278" s="468">
        <v>9360</v>
      </c>
      <c r="Q278" s="499" t="str">
        <f t="shared" si="13"/>
        <v/>
      </c>
      <c r="R278" s="500">
        <f t="shared" si="14"/>
        <v>65520</v>
      </c>
    </row>
    <row r="279" spans="2:18" hidden="1">
      <c r="B279" s="84">
        <v>269</v>
      </c>
      <c r="C279" s="498">
        <v>642</v>
      </c>
      <c r="D279" s="718">
        <f t="shared" si="12"/>
        <v>24</v>
      </c>
      <c r="E279" s="684">
        <v>45093</v>
      </c>
      <c r="F279" s="85" t="s">
        <v>112</v>
      </c>
      <c r="G279" s="85" t="s">
        <v>114</v>
      </c>
      <c r="H279" s="85" t="s">
        <v>114</v>
      </c>
      <c r="I279" s="167" t="s">
        <v>451</v>
      </c>
      <c r="J279" s="85" t="s">
        <v>74</v>
      </c>
      <c r="K279" s="85" t="s">
        <v>652</v>
      </c>
      <c r="L279" s="85" t="s">
        <v>185</v>
      </c>
      <c r="M279" s="467"/>
      <c r="N279" s="467">
        <v>299</v>
      </c>
      <c r="O279" s="468"/>
      <c r="P279" s="468">
        <v>400</v>
      </c>
      <c r="Q279" s="499" t="str">
        <f t="shared" si="13"/>
        <v/>
      </c>
      <c r="R279" s="500">
        <f t="shared" si="14"/>
        <v>119600</v>
      </c>
    </row>
    <row r="280" spans="2:18" hidden="1">
      <c r="B280" s="84">
        <v>270</v>
      </c>
      <c r="C280" s="498"/>
      <c r="D280" s="718">
        <f t="shared" si="12"/>
        <v>24</v>
      </c>
      <c r="E280" s="684">
        <v>45094</v>
      </c>
      <c r="F280" s="85"/>
      <c r="G280" s="85"/>
      <c r="H280" s="85"/>
      <c r="I280" s="86"/>
      <c r="J280" s="85" t="s">
        <v>81</v>
      </c>
      <c r="K280" s="85" t="s">
        <v>87</v>
      </c>
      <c r="L280" s="85" t="s">
        <v>91</v>
      </c>
      <c r="M280" s="467">
        <v>0.75</v>
      </c>
      <c r="N280" s="467"/>
      <c r="O280" s="468">
        <v>8000</v>
      </c>
      <c r="P280" s="468"/>
      <c r="Q280" s="499">
        <f t="shared" si="13"/>
        <v>6000</v>
      </c>
      <c r="R280" s="500" t="str">
        <f t="shared" si="14"/>
        <v/>
      </c>
    </row>
    <row r="281" spans="2:18" hidden="1">
      <c r="B281" s="84">
        <v>271</v>
      </c>
      <c r="C281" s="498"/>
      <c r="D281" s="718">
        <f t="shared" si="12"/>
        <v>24</v>
      </c>
      <c r="E281" s="684">
        <v>45094</v>
      </c>
      <c r="F281" s="85"/>
      <c r="G281" s="85"/>
      <c r="H281" s="85"/>
      <c r="I281" s="86"/>
      <c r="J281" s="85" t="s">
        <v>74</v>
      </c>
      <c r="K281" s="85" t="s">
        <v>85</v>
      </c>
      <c r="L281" s="85" t="s">
        <v>91</v>
      </c>
      <c r="M281" s="467"/>
      <c r="N281" s="467">
        <v>2</v>
      </c>
      <c r="O281" s="468"/>
      <c r="P281" s="468">
        <v>116870</v>
      </c>
      <c r="Q281" s="499" t="str">
        <f t="shared" si="13"/>
        <v/>
      </c>
      <c r="R281" s="500">
        <f t="shared" si="14"/>
        <v>233740</v>
      </c>
    </row>
    <row r="282" spans="2:18">
      <c r="B282" s="84">
        <v>272</v>
      </c>
      <c r="C282" s="498" t="s">
        <v>589</v>
      </c>
      <c r="D282" s="718">
        <f t="shared" si="12"/>
        <v>24</v>
      </c>
      <c r="E282" s="684">
        <v>45094</v>
      </c>
      <c r="F282" s="85" t="s">
        <v>105</v>
      </c>
      <c r="G282" s="85" t="s">
        <v>9</v>
      </c>
      <c r="H282" s="85"/>
      <c r="I282" s="86"/>
      <c r="J282" s="85" t="s">
        <v>74</v>
      </c>
      <c r="K282" s="85" t="s">
        <v>86</v>
      </c>
      <c r="L282" s="85" t="s">
        <v>91</v>
      </c>
      <c r="M282" s="467"/>
      <c r="N282" s="467">
        <v>3.5</v>
      </c>
      <c r="O282" s="468"/>
      <c r="P282" s="468">
        <v>34620</v>
      </c>
      <c r="Q282" s="499" t="str">
        <f t="shared" si="13"/>
        <v/>
      </c>
      <c r="R282" s="500">
        <f t="shared" si="14"/>
        <v>121170</v>
      </c>
    </row>
    <row r="283" spans="2:18" hidden="1">
      <c r="B283" s="84">
        <v>273</v>
      </c>
      <c r="C283" s="498"/>
      <c r="D283" s="718">
        <f t="shared" si="12"/>
        <v>24</v>
      </c>
      <c r="E283" s="684">
        <v>45094</v>
      </c>
      <c r="F283" s="85"/>
      <c r="G283" s="85"/>
      <c r="H283" s="85"/>
      <c r="I283" s="86"/>
      <c r="J283" s="85" t="s">
        <v>81</v>
      </c>
      <c r="K283" s="85" t="s">
        <v>162</v>
      </c>
      <c r="L283" s="85" t="s">
        <v>163</v>
      </c>
      <c r="M283" s="467">
        <v>17000</v>
      </c>
      <c r="N283" s="467"/>
      <c r="O283" s="468">
        <f>(280+250+265+230)/1000</f>
        <v>1.0249999999999999</v>
      </c>
      <c r="P283" s="468"/>
      <c r="Q283" s="499">
        <f t="shared" si="13"/>
        <v>17425</v>
      </c>
      <c r="R283" s="500" t="str">
        <f t="shared" si="14"/>
        <v/>
      </c>
    </row>
    <row r="284" spans="2:18" hidden="1">
      <c r="B284" s="84">
        <v>274</v>
      </c>
      <c r="C284" s="498"/>
      <c r="D284" s="718">
        <f t="shared" si="12"/>
        <v>24</v>
      </c>
      <c r="E284" s="684">
        <v>45094</v>
      </c>
      <c r="F284" s="85"/>
      <c r="G284" s="85"/>
      <c r="H284" s="85"/>
      <c r="I284" s="86"/>
      <c r="J284" s="85" t="s">
        <v>74</v>
      </c>
      <c r="K284" s="85" t="s">
        <v>162</v>
      </c>
      <c r="L284" s="85" t="s">
        <v>163</v>
      </c>
      <c r="M284" s="467"/>
      <c r="N284" s="467">
        <v>25000</v>
      </c>
      <c r="O284" s="468"/>
      <c r="P284" s="468">
        <f>(300+350+120+100+120+100)/1000</f>
        <v>1.0900000000000001</v>
      </c>
      <c r="Q284" s="499" t="str">
        <f t="shared" si="13"/>
        <v/>
      </c>
      <c r="R284" s="500">
        <f t="shared" si="14"/>
        <v>27250.000000000004</v>
      </c>
    </row>
    <row r="285" spans="2:18" hidden="1">
      <c r="B285" s="84">
        <v>275</v>
      </c>
      <c r="C285" s="498"/>
      <c r="D285" s="718">
        <f t="shared" si="12"/>
        <v>24</v>
      </c>
      <c r="E285" s="684">
        <v>45094</v>
      </c>
      <c r="F285" s="85" t="s">
        <v>113</v>
      </c>
      <c r="G285" s="85" t="s">
        <v>281</v>
      </c>
      <c r="H285" s="85" t="s">
        <v>281</v>
      </c>
      <c r="I285" s="86"/>
      <c r="J285" s="85" t="s">
        <v>74</v>
      </c>
      <c r="K285" s="85" t="s">
        <v>162</v>
      </c>
      <c r="L285" s="85" t="s">
        <v>163</v>
      </c>
      <c r="M285" s="467"/>
      <c r="N285" s="467">
        <v>42000</v>
      </c>
      <c r="O285" s="468"/>
      <c r="P285" s="468">
        <f>(250+63)/1000</f>
        <v>0.313</v>
      </c>
      <c r="Q285" s="499" t="str">
        <f t="shared" si="13"/>
        <v/>
      </c>
      <c r="R285" s="500">
        <f t="shared" si="14"/>
        <v>13146</v>
      </c>
    </row>
    <row r="286" spans="2:18" hidden="1">
      <c r="B286" s="84">
        <v>276</v>
      </c>
      <c r="C286" s="498"/>
      <c r="D286" s="718">
        <f t="shared" si="12"/>
        <v>25</v>
      </c>
      <c r="E286" s="684">
        <v>45096</v>
      </c>
      <c r="F286" s="85"/>
      <c r="G286" s="85"/>
      <c r="H286" s="85"/>
      <c r="I286" s="86"/>
      <c r="J286" s="85" t="s">
        <v>81</v>
      </c>
      <c r="K286" s="502" t="s">
        <v>461</v>
      </c>
      <c r="L286" s="85" t="s">
        <v>185</v>
      </c>
      <c r="M286" s="467">
        <v>82.584879220000005</v>
      </c>
      <c r="N286" s="467"/>
      <c r="O286" s="468">
        <v>400</v>
      </c>
      <c r="P286" s="468"/>
      <c r="Q286" s="499">
        <f t="shared" si="13"/>
        <v>33033.951688000001</v>
      </c>
      <c r="R286" s="500" t="str">
        <f t="shared" si="14"/>
        <v/>
      </c>
    </row>
    <row r="287" spans="2:18" hidden="1">
      <c r="B287" s="84">
        <v>277</v>
      </c>
      <c r="C287" s="498" t="s">
        <v>458</v>
      </c>
      <c r="D287" s="718">
        <f t="shared" si="12"/>
        <v>25</v>
      </c>
      <c r="E287" s="684">
        <v>45096</v>
      </c>
      <c r="F287" s="85" t="s">
        <v>440</v>
      </c>
      <c r="G287" s="85" t="s">
        <v>441</v>
      </c>
      <c r="H287" s="85" t="s">
        <v>91</v>
      </c>
      <c r="I287" s="86"/>
      <c r="J287" s="85" t="s">
        <v>74</v>
      </c>
      <c r="K287" s="85" t="s">
        <v>87</v>
      </c>
      <c r="L287" s="85" t="s">
        <v>91</v>
      </c>
      <c r="M287" s="467"/>
      <c r="N287" s="467"/>
      <c r="O287" s="468"/>
      <c r="P287" s="505">
        <v>375</v>
      </c>
      <c r="Q287" s="499" t="str">
        <f t="shared" si="13"/>
        <v/>
      </c>
      <c r="R287" s="500" t="str">
        <f t="shared" si="14"/>
        <v/>
      </c>
    </row>
    <row r="288" spans="2:18" hidden="1">
      <c r="B288" s="84">
        <v>278</v>
      </c>
      <c r="C288" s="498"/>
      <c r="D288" s="718">
        <f t="shared" si="12"/>
        <v>25</v>
      </c>
      <c r="E288" s="684">
        <v>45096</v>
      </c>
      <c r="F288" s="85"/>
      <c r="G288" s="85"/>
      <c r="H288" s="85"/>
      <c r="I288" s="86"/>
      <c r="J288" s="85" t="s">
        <v>81</v>
      </c>
      <c r="K288" s="85" t="s">
        <v>56</v>
      </c>
      <c r="L288" s="85" t="s">
        <v>91</v>
      </c>
      <c r="M288" s="467">
        <v>27.769467619047621</v>
      </c>
      <c r="N288" s="467"/>
      <c r="O288" s="468">
        <v>1000</v>
      </c>
      <c r="P288" s="468"/>
      <c r="Q288" s="499">
        <f t="shared" si="13"/>
        <v>27769.46761904762</v>
      </c>
      <c r="R288" s="500" t="str">
        <f t="shared" si="14"/>
        <v/>
      </c>
    </row>
    <row r="289" spans="2:18" hidden="1">
      <c r="B289" s="84">
        <v>279</v>
      </c>
      <c r="C289" s="498"/>
      <c r="D289" s="718">
        <f t="shared" si="12"/>
        <v>25</v>
      </c>
      <c r="E289" s="684">
        <v>45097</v>
      </c>
      <c r="F289" s="85"/>
      <c r="G289" s="85"/>
      <c r="H289" s="85"/>
      <c r="I289" s="86"/>
      <c r="J289" s="85" t="s">
        <v>81</v>
      </c>
      <c r="K289" s="85" t="s">
        <v>461</v>
      </c>
      <c r="L289" s="85" t="s">
        <v>185</v>
      </c>
      <c r="M289" s="467">
        <v>82.584879220000005</v>
      </c>
      <c r="N289" s="467"/>
      <c r="O289" s="468">
        <v>400</v>
      </c>
      <c r="P289" s="468"/>
      <c r="Q289" s="499">
        <f t="shared" si="13"/>
        <v>33033.951688000001</v>
      </c>
      <c r="R289" s="500" t="str">
        <f t="shared" si="14"/>
        <v/>
      </c>
    </row>
    <row r="290" spans="2:18" hidden="1">
      <c r="B290" s="84">
        <v>280</v>
      </c>
      <c r="C290" s="498"/>
      <c r="D290" s="718">
        <f t="shared" si="12"/>
        <v>25</v>
      </c>
      <c r="E290" s="684">
        <v>45097</v>
      </c>
      <c r="F290" s="85"/>
      <c r="G290" s="85"/>
      <c r="H290" s="85"/>
      <c r="I290" s="86"/>
      <c r="J290" s="85" t="s">
        <v>81</v>
      </c>
      <c r="K290" s="85" t="s">
        <v>652</v>
      </c>
      <c r="L290" s="85" t="s">
        <v>185</v>
      </c>
      <c r="M290" s="467">
        <v>247.18544827008316</v>
      </c>
      <c r="N290" s="467"/>
      <c r="O290" s="468">
        <v>200</v>
      </c>
      <c r="P290" s="468"/>
      <c r="Q290" s="499">
        <f t="shared" si="13"/>
        <v>49437.089654016629</v>
      </c>
      <c r="R290" s="500" t="str">
        <f t="shared" si="14"/>
        <v/>
      </c>
    </row>
    <row r="291" spans="2:18" hidden="1">
      <c r="B291" s="84">
        <v>281</v>
      </c>
      <c r="C291" s="498" t="s">
        <v>454</v>
      </c>
      <c r="D291" s="718">
        <f t="shared" si="12"/>
        <v>25</v>
      </c>
      <c r="E291" s="684">
        <v>45097</v>
      </c>
      <c r="F291" s="85" t="s">
        <v>107</v>
      </c>
      <c r="G291" s="85" t="s">
        <v>97</v>
      </c>
      <c r="H291" s="85" t="s">
        <v>341</v>
      </c>
      <c r="I291" s="86"/>
      <c r="J291" s="85" t="s">
        <v>74</v>
      </c>
      <c r="K291" s="85" t="s">
        <v>85</v>
      </c>
      <c r="L291" s="85" t="s">
        <v>91</v>
      </c>
      <c r="M291" s="467"/>
      <c r="N291" s="467">
        <v>2</v>
      </c>
      <c r="O291" s="468"/>
      <c r="P291" s="468">
        <v>8900</v>
      </c>
      <c r="Q291" s="499" t="str">
        <f t="shared" si="13"/>
        <v/>
      </c>
      <c r="R291" s="500">
        <f t="shared" si="14"/>
        <v>17800</v>
      </c>
    </row>
    <row r="292" spans="2:18" hidden="1">
      <c r="B292" s="84">
        <v>282</v>
      </c>
      <c r="C292" s="498" t="s">
        <v>455</v>
      </c>
      <c r="D292" s="718">
        <f t="shared" si="12"/>
        <v>25</v>
      </c>
      <c r="E292" s="684">
        <v>45097</v>
      </c>
      <c r="F292" s="85" t="s">
        <v>107</v>
      </c>
      <c r="G292" s="85" t="s">
        <v>97</v>
      </c>
      <c r="H292" s="85" t="s">
        <v>341</v>
      </c>
      <c r="I292" s="86"/>
      <c r="J292" s="85" t="s">
        <v>74</v>
      </c>
      <c r="K292" s="85" t="s">
        <v>85</v>
      </c>
      <c r="L292" s="85" t="s">
        <v>91</v>
      </c>
      <c r="M292" s="467"/>
      <c r="N292" s="467">
        <v>2</v>
      </c>
      <c r="O292" s="468"/>
      <c r="P292" s="468">
        <v>8050</v>
      </c>
      <c r="Q292" s="499" t="str">
        <f t="shared" si="13"/>
        <v/>
      </c>
      <c r="R292" s="500">
        <f t="shared" si="14"/>
        <v>16100</v>
      </c>
    </row>
    <row r="293" spans="2:18" hidden="1">
      <c r="B293" s="84">
        <v>283</v>
      </c>
      <c r="C293" s="498" t="s">
        <v>456</v>
      </c>
      <c r="D293" s="718">
        <f t="shared" si="12"/>
        <v>25</v>
      </c>
      <c r="E293" s="684">
        <v>45097</v>
      </c>
      <c r="F293" s="85" t="s">
        <v>107</v>
      </c>
      <c r="G293" s="85" t="s">
        <v>97</v>
      </c>
      <c r="H293" s="85" t="s">
        <v>341</v>
      </c>
      <c r="I293" s="86"/>
      <c r="J293" s="85" t="s">
        <v>74</v>
      </c>
      <c r="K293" s="85" t="s">
        <v>85</v>
      </c>
      <c r="L293" s="85" t="s">
        <v>91</v>
      </c>
      <c r="M293" s="467"/>
      <c r="N293" s="467">
        <v>2</v>
      </c>
      <c r="O293" s="468"/>
      <c r="P293" s="468">
        <v>10180</v>
      </c>
      <c r="Q293" s="499" t="str">
        <f t="shared" si="13"/>
        <v/>
      </c>
      <c r="R293" s="500">
        <f t="shared" si="14"/>
        <v>20360</v>
      </c>
    </row>
    <row r="294" spans="2:18" hidden="1">
      <c r="B294" s="84">
        <v>284</v>
      </c>
      <c r="C294" s="498" t="s">
        <v>457</v>
      </c>
      <c r="D294" s="718">
        <f t="shared" si="12"/>
        <v>25</v>
      </c>
      <c r="E294" s="684">
        <v>45097</v>
      </c>
      <c r="F294" s="85" t="s">
        <v>107</v>
      </c>
      <c r="G294" s="85" t="s">
        <v>97</v>
      </c>
      <c r="H294" s="85" t="s">
        <v>341</v>
      </c>
      <c r="I294" s="86"/>
      <c r="J294" s="85" t="s">
        <v>74</v>
      </c>
      <c r="K294" s="85" t="s">
        <v>85</v>
      </c>
      <c r="L294" s="85" t="s">
        <v>91</v>
      </c>
      <c r="M294" s="467"/>
      <c r="N294" s="467">
        <v>2</v>
      </c>
      <c r="O294" s="468"/>
      <c r="P294" s="468">
        <v>8770</v>
      </c>
      <c r="Q294" s="499" t="str">
        <f t="shared" si="13"/>
        <v/>
      </c>
      <c r="R294" s="500">
        <f t="shared" si="14"/>
        <v>17540</v>
      </c>
    </row>
    <row r="295" spans="2:18" hidden="1">
      <c r="B295" s="84">
        <v>285</v>
      </c>
      <c r="C295" s="498"/>
      <c r="D295" s="718">
        <f t="shared" si="12"/>
        <v>25</v>
      </c>
      <c r="E295" s="684">
        <v>45097</v>
      </c>
      <c r="F295" s="85"/>
      <c r="G295" s="85"/>
      <c r="H295" s="85"/>
      <c r="I295" s="86"/>
      <c r="J295" s="85" t="s">
        <v>81</v>
      </c>
      <c r="K295" s="85" t="s">
        <v>164</v>
      </c>
      <c r="L295" s="85" t="s">
        <v>165</v>
      </c>
      <c r="M295" s="467">
        <v>287.6268905420971</v>
      </c>
      <c r="N295" s="467"/>
      <c r="O295" s="468">
        <v>57.14</v>
      </c>
      <c r="P295" s="468"/>
      <c r="Q295" s="499">
        <f t="shared" si="13"/>
        <v>16435.000525575429</v>
      </c>
      <c r="R295" s="500" t="str">
        <f t="shared" si="14"/>
        <v/>
      </c>
    </row>
    <row r="296" spans="2:18" hidden="1">
      <c r="B296" s="84">
        <v>286</v>
      </c>
      <c r="C296" s="498">
        <v>643</v>
      </c>
      <c r="D296" s="718">
        <f t="shared" si="12"/>
        <v>25</v>
      </c>
      <c r="E296" s="684">
        <v>45098</v>
      </c>
      <c r="F296" s="85" t="s">
        <v>112</v>
      </c>
      <c r="G296" s="85" t="s">
        <v>114</v>
      </c>
      <c r="H296" s="85" t="s">
        <v>114</v>
      </c>
      <c r="I296" s="86" t="s">
        <v>615</v>
      </c>
      <c r="J296" s="85" t="s">
        <v>74</v>
      </c>
      <c r="K296" s="85" t="s">
        <v>461</v>
      </c>
      <c r="L296" s="85" t="s">
        <v>185</v>
      </c>
      <c r="M296" s="467"/>
      <c r="N296" s="467">
        <v>110</v>
      </c>
      <c r="O296" s="468"/>
      <c r="P296" s="468">
        <v>800</v>
      </c>
      <c r="Q296" s="499" t="str">
        <f t="shared" si="13"/>
        <v/>
      </c>
      <c r="R296" s="500">
        <f t="shared" si="14"/>
        <v>88000</v>
      </c>
    </row>
    <row r="297" spans="2:18" hidden="1">
      <c r="B297" s="84">
        <v>287</v>
      </c>
      <c r="C297" s="498"/>
      <c r="D297" s="718">
        <f t="shared" si="12"/>
        <v>25</v>
      </c>
      <c r="E297" s="684">
        <v>45098</v>
      </c>
      <c r="F297" s="85"/>
      <c r="G297" s="85"/>
      <c r="H297" s="85"/>
      <c r="I297" s="86"/>
      <c r="J297" s="85" t="s">
        <v>74</v>
      </c>
      <c r="K297" s="85" t="s">
        <v>164</v>
      </c>
      <c r="L297" s="85" t="s">
        <v>165</v>
      </c>
      <c r="M297" s="467"/>
      <c r="N297" s="467">
        <v>82.5</v>
      </c>
      <c r="O297" s="468"/>
      <c r="P297" s="468">
        <v>40</v>
      </c>
      <c r="Q297" s="499" t="str">
        <f t="shared" si="13"/>
        <v/>
      </c>
      <c r="R297" s="500">
        <f t="shared" si="14"/>
        <v>3300</v>
      </c>
    </row>
    <row r="298" spans="2:18" hidden="1">
      <c r="B298" s="84">
        <v>288</v>
      </c>
      <c r="C298" s="498" t="s">
        <v>459</v>
      </c>
      <c r="D298" s="718">
        <f t="shared" si="12"/>
        <v>25</v>
      </c>
      <c r="E298" s="684">
        <v>45099</v>
      </c>
      <c r="F298" s="85" t="s">
        <v>105</v>
      </c>
      <c r="G298" s="85" t="s">
        <v>9</v>
      </c>
      <c r="H298" s="85" t="s">
        <v>314</v>
      </c>
      <c r="I298" s="86"/>
      <c r="J298" s="85" t="s">
        <v>74</v>
      </c>
      <c r="K298" s="85" t="s">
        <v>87</v>
      </c>
      <c r="L298" s="85" t="s">
        <v>91</v>
      </c>
      <c r="M298" s="467"/>
      <c r="N298" s="467">
        <v>1.2</v>
      </c>
      <c r="O298" s="468"/>
      <c r="P298" s="468">
        <v>2000</v>
      </c>
      <c r="Q298" s="499" t="str">
        <f t="shared" si="13"/>
        <v/>
      </c>
      <c r="R298" s="500">
        <f t="shared" si="14"/>
        <v>2400</v>
      </c>
    </row>
    <row r="299" spans="2:18" hidden="1">
      <c r="B299" s="84">
        <v>289</v>
      </c>
      <c r="C299" s="498" t="s">
        <v>460</v>
      </c>
      <c r="D299" s="718">
        <f t="shared" si="12"/>
        <v>25</v>
      </c>
      <c r="E299" s="684">
        <v>45099</v>
      </c>
      <c r="F299" s="85" t="s">
        <v>105</v>
      </c>
      <c r="G299" s="85" t="s">
        <v>9</v>
      </c>
      <c r="H299" s="85" t="s">
        <v>316</v>
      </c>
      <c r="I299" s="86"/>
      <c r="J299" s="85" t="s">
        <v>74</v>
      </c>
      <c r="K299" s="85" t="s">
        <v>87</v>
      </c>
      <c r="L299" s="85" t="s">
        <v>91</v>
      </c>
      <c r="M299" s="467"/>
      <c r="N299" s="467">
        <v>1.2</v>
      </c>
      <c r="O299" s="468"/>
      <c r="P299" s="468">
        <v>8000</v>
      </c>
      <c r="Q299" s="499" t="str">
        <f t="shared" si="13"/>
        <v/>
      </c>
      <c r="R299" s="500">
        <f t="shared" si="14"/>
        <v>9600</v>
      </c>
    </row>
    <row r="300" spans="2:18" hidden="1">
      <c r="B300" s="84">
        <v>290</v>
      </c>
      <c r="C300" s="498">
        <v>644</v>
      </c>
      <c r="D300" s="718">
        <f t="shared" si="12"/>
        <v>25</v>
      </c>
      <c r="E300" s="684">
        <v>45100</v>
      </c>
      <c r="F300" s="85" t="s">
        <v>112</v>
      </c>
      <c r="G300" s="85" t="s">
        <v>114</v>
      </c>
      <c r="H300" s="85" t="s">
        <v>114</v>
      </c>
      <c r="I300" s="167" t="s">
        <v>491</v>
      </c>
      <c r="J300" s="85" t="s">
        <v>74</v>
      </c>
      <c r="K300" s="85" t="s">
        <v>652</v>
      </c>
      <c r="L300" s="85" t="s">
        <v>185</v>
      </c>
      <c r="M300" s="467"/>
      <c r="N300" s="467">
        <v>299</v>
      </c>
      <c r="O300" s="468"/>
      <c r="P300" s="468">
        <v>200</v>
      </c>
      <c r="Q300" s="499" t="str">
        <f t="shared" si="13"/>
        <v/>
      </c>
      <c r="R300" s="500">
        <f t="shared" si="14"/>
        <v>59800</v>
      </c>
    </row>
    <row r="301" spans="2:18" hidden="1">
      <c r="B301" s="84">
        <v>291</v>
      </c>
      <c r="C301" s="498">
        <v>645</v>
      </c>
      <c r="D301" s="718">
        <f t="shared" si="12"/>
        <v>25</v>
      </c>
      <c r="E301" s="684">
        <v>45100</v>
      </c>
      <c r="F301" s="85" t="s">
        <v>111</v>
      </c>
      <c r="G301" s="85" t="s">
        <v>426</v>
      </c>
      <c r="H301" s="85" t="s">
        <v>426</v>
      </c>
      <c r="I301" s="167" t="s">
        <v>445</v>
      </c>
      <c r="J301" s="85" t="s">
        <v>74</v>
      </c>
      <c r="K301" s="85" t="s">
        <v>56</v>
      </c>
      <c r="L301" s="85" t="s">
        <v>91</v>
      </c>
      <c r="M301" s="467"/>
      <c r="N301" s="467">
        <v>40</v>
      </c>
      <c r="O301" s="468"/>
      <c r="P301" s="468">
        <v>60</v>
      </c>
      <c r="Q301" s="499" t="str">
        <f t="shared" si="13"/>
        <v/>
      </c>
      <c r="R301" s="500">
        <f t="shared" si="14"/>
        <v>2400</v>
      </c>
    </row>
    <row r="302" spans="2:18" hidden="1">
      <c r="B302" s="84">
        <v>292</v>
      </c>
      <c r="C302" s="498">
        <v>646</v>
      </c>
      <c r="D302" s="718">
        <f t="shared" si="12"/>
        <v>25</v>
      </c>
      <c r="E302" s="684">
        <v>45100</v>
      </c>
      <c r="F302" s="85" t="s">
        <v>112</v>
      </c>
      <c r="G302" s="85" t="s">
        <v>114</v>
      </c>
      <c r="H302" s="85" t="s">
        <v>114</v>
      </c>
      <c r="I302" s="326" t="s">
        <v>634</v>
      </c>
      <c r="J302" s="85" t="s">
        <v>74</v>
      </c>
      <c r="K302" s="85" t="s">
        <v>56</v>
      </c>
      <c r="L302" s="85" t="s">
        <v>91</v>
      </c>
      <c r="M302" s="467"/>
      <c r="N302" s="467">
        <v>40</v>
      </c>
      <c r="O302" s="468"/>
      <c r="P302" s="468">
        <v>20</v>
      </c>
      <c r="Q302" s="499" t="str">
        <f t="shared" si="13"/>
        <v/>
      </c>
      <c r="R302" s="500">
        <f t="shared" si="14"/>
        <v>800</v>
      </c>
    </row>
    <row r="303" spans="2:18" hidden="1">
      <c r="B303" s="84">
        <v>293</v>
      </c>
      <c r="C303" s="498"/>
      <c r="D303" s="718">
        <f t="shared" si="12"/>
        <v>25</v>
      </c>
      <c r="E303" s="684">
        <v>45101</v>
      </c>
      <c r="F303" s="85"/>
      <c r="G303" s="85"/>
      <c r="H303" s="85"/>
      <c r="I303" s="86"/>
      <c r="J303" s="85" t="s">
        <v>81</v>
      </c>
      <c r="K303" s="85" t="s">
        <v>162</v>
      </c>
      <c r="L303" s="85" t="s">
        <v>163</v>
      </c>
      <c r="M303" s="467">
        <v>17000</v>
      </c>
      <c r="N303" s="467"/>
      <c r="O303" s="468">
        <f>(405+327+390+193)/1000</f>
        <v>1.3149999999999999</v>
      </c>
      <c r="P303" s="468"/>
      <c r="Q303" s="499">
        <f t="shared" si="13"/>
        <v>22355</v>
      </c>
      <c r="R303" s="500" t="str">
        <f t="shared" si="14"/>
        <v/>
      </c>
    </row>
    <row r="304" spans="2:18" hidden="1">
      <c r="B304" s="84">
        <v>294</v>
      </c>
      <c r="C304" s="498"/>
      <c r="D304" s="718">
        <f t="shared" si="12"/>
        <v>25</v>
      </c>
      <c r="E304" s="684">
        <v>45101</v>
      </c>
      <c r="F304" s="85" t="s">
        <v>277</v>
      </c>
      <c r="G304" s="85" t="s">
        <v>361</v>
      </c>
      <c r="H304" s="85" t="s">
        <v>283</v>
      </c>
      <c r="I304" s="86"/>
      <c r="J304" s="85" t="s">
        <v>74</v>
      </c>
      <c r="K304" s="85" t="s">
        <v>162</v>
      </c>
      <c r="L304" s="85" t="s">
        <v>163</v>
      </c>
      <c r="M304" s="467"/>
      <c r="N304" s="467"/>
      <c r="O304" s="468"/>
      <c r="P304" s="468">
        <f>110/1000</f>
        <v>0.11</v>
      </c>
      <c r="Q304" s="499" t="str">
        <f t="shared" si="13"/>
        <v/>
      </c>
      <c r="R304" s="500" t="str">
        <f t="shared" si="14"/>
        <v/>
      </c>
    </row>
    <row r="305" spans="2:18" hidden="1">
      <c r="B305" s="84">
        <v>295</v>
      </c>
      <c r="C305" s="498"/>
      <c r="D305" s="718">
        <f t="shared" si="12"/>
        <v>25</v>
      </c>
      <c r="E305" s="684">
        <v>45101</v>
      </c>
      <c r="F305" s="85"/>
      <c r="G305" s="85"/>
      <c r="H305" s="85"/>
      <c r="I305" s="86"/>
      <c r="J305" s="85" t="s">
        <v>74</v>
      </c>
      <c r="K305" s="85" t="s">
        <v>162</v>
      </c>
      <c r="L305" s="85" t="s">
        <v>163</v>
      </c>
      <c r="M305" s="467"/>
      <c r="N305" s="467">
        <v>25000</v>
      </c>
      <c r="O305" s="468"/>
      <c r="P305" s="468">
        <f>(110+80)/1000</f>
        <v>0.19</v>
      </c>
      <c r="Q305" s="499" t="str">
        <f t="shared" si="13"/>
        <v/>
      </c>
      <c r="R305" s="500">
        <f t="shared" si="14"/>
        <v>4750</v>
      </c>
    </row>
    <row r="306" spans="2:18" hidden="1">
      <c r="B306" s="84">
        <v>296</v>
      </c>
      <c r="C306" s="498"/>
      <c r="D306" s="718">
        <f t="shared" si="12"/>
        <v>25</v>
      </c>
      <c r="E306" s="684">
        <v>45101</v>
      </c>
      <c r="F306" s="85" t="s">
        <v>113</v>
      </c>
      <c r="G306" s="85" t="s">
        <v>280</v>
      </c>
      <c r="H306" s="85" t="s">
        <v>280</v>
      </c>
      <c r="I306" s="86"/>
      <c r="J306" s="85" t="s">
        <v>74</v>
      </c>
      <c r="K306" s="85" t="s">
        <v>162</v>
      </c>
      <c r="L306" s="85" t="s">
        <v>163</v>
      </c>
      <c r="M306" s="467"/>
      <c r="N306" s="467">
        <v>42000</v>
      </c>
      <c r="O306" s="468"/>
      <c r="P306" s="468">
        <f>(250+63)/1000</f>
        <v>0.313</v>
      </c>
      <c r="Q306" s="499" t="str">
        <f t="shared" si="13"/>
        <v/>
      </c>
      <c r="R306" s="500">
        <f t="shared" si="14"/>
        <v>13146</v>
      </c>
    </row>
    <row r="307" spans="2:18" hidden="1">
      <c r="B307" s="84">
        <v>297</v>
      </c>
      <c r="C307" s="498" t="s">
        <v>480</v>
      </c>
      <c r="D307" s="718">
        <f t="shared" si="12"/>
        <v>26</v>
      </c>
      <c r="E307" s="684">
        <v>45103</v>
      </c>
      <c r="F307" s="85" t="s">
        <v>440</v>
      </c>
      <c r="G307" s="85" t="s">
        <v>441</v>
      </c>
      <c r="H307" s="85" t="s">
        <v>91</v>
      </c>
      <c r="I307" s="86"/>
      <c r="J307" s="85" t="s">
        <v>74</v>
      </c>
      <c r="K307" s="85" t="s">
        <v>87</v>
      </c>
      <c r="L307" s="85" t="s">
        <v>91</v>
      </c>
      <c r="M307" s="467"/>
      <c r="N307" s="467"/>
      <c r="O307" s="468"/>
      <c r="P307" s="505">
        <v>375</v>
      </c>
      <c r="Q307" s="499" t="str">
        <f t="shared" si="13"/>
        <v/>
      </c>
      <c r="R307" s="500" t="str">
        <f t="shared" si="14"/>
        <v/>
      </c>
    </row>
    <row r="308" spans="2:18">
      <c r="B308" s="84">
        <v>298</v>
      </c>
      <c r="C308" s="498" t="s">
        <v>590</v>
      </c>
      <c r="D308" s="718">
        <f t="shared" si="12"/>
        <v>26</v>
      </c>
      <c r="E308" s="684">
        <v>45103</v>
      </c>
      <c r="F308" s="85" t="s">
        <v>107</v>
      </c>
      <c r="G308" s="85" t="s">
        <v>97</v>
      </c>
      <c r="H308" s="85" t="s">
        <v>342</v>
      </c>
      <c r="I308" s="86"/>
      <c r="J308" s="85" t="s">
        <v>74</v>
      </c>
      <c r="K308" s="85" t="s">
        <v>86</v>
      </c>
      <c r="L308" s="85" t="s">
        <v>91</v>
      </c>
      <c r="M308" s="467"/>
      <c r="N308" s="467">
        <v>3.5</v>
      </c>
      <c r="O308" s="468"/>
      <c r="P308" s="468">
        <v>9960</v>
      </c>
      <c r="Q308" s="499" t="str">
        <f t="shared" si="13"/>
        <v/>
      </c>
      <c r="R308" s="500">
        <f t="shared" si="14"/>
        <v>34860</v>
      </c>
    </row>
    <row r="309" spans="2:18" hidden="1">
      <c r="B309" s="84">
        <v>299</v>
      </c>
      <c r="C309" s="498"/>
      <c r="D309" s="718">
        <f t="shared" si="12"/>
        <v>26</v>
      </c>
      <c r="E309" s="684">
        <v>45104</v>
      </c>
      <c r="F309" s="85"/>
      <c r="G309" s="85"/>
      <c r="H309" s="85"/>
      <c r="I309" s="86"/>
      <c r="J309" s="85" t="s">
        <v>81</v>
      </c>
      <c r="K309" s="85" t="s">
        <v>56</v>
      </c>
      <c r="L309" s="85" t="s">
        <v>91</v>
      </c>
      <c r="M309" s="467">
        <v>27.769467619047621</v>
      </c>
      <c r="N309" s="467"/>
      <c r="O309" s="468">
        <v>1000</v>
      </c>
      <c r="P309" s="468"/>
      <c r="Q309" s="499">
        <f t="shared" si="13"/>
        <v>27769.46761904762</v>
      </c>
      <c r="R309" s="500" t="str">
        <f t="shared" si="14"/>
        <v/>
      </c>
    </row>
    <row r="310" spans="2:18" hidden="1">
      <c r="B310" s="84">
        <v>300</v>
      </c>
      <c r="C310" s="498"/>
      <c r="D310" s="718">
        <f t="shared" si="12"/>
        <v>26</v>
      </c>
      <c r="E310" s="684">
        <v>45104</v>
      </c>
      <c r="F310" s="85"/>
      <c r="G310" s="85"/>
      <c r="H310" s="85"/>
      <c r="I310" s="86"/>
      <c r="J310" s="85" t="s">
        <v>81</v>
      </c>
      <c r="K310" s="85" t="s">
        <v>652</v>
      </c>
      <c r="L310" s="85" t="s">
        <v>185</v>
      </c>
      <c r="M310" s="467">
        <v>247.18544827008316</v>
      </c>
      <c r="N310" s="467"/>
      <c r="O310" s="468">
        <f>(200+600+600)</f>
        <v>1400</v>
      </c>
      <c r="P310" s="468"/>
      <c r="Q310" s="499">
        <f t="shared" si="13"/>
        <v>346059.62757811643</v>
      </c>
      <c r="R310" s="500" t="str">
        <f t="shared" si="14"/>
        <v/>
      </c>
    </row>
    <row r="311" spans="2:18" hidden="1">
      <c r="B311" s="84">
        <v>301</v>
      </c>
      <c r="C311" s="498" t="s">
        <v>490</v>
      </c>
      <c r="D311" s="718">
        <f t="shared" si="12"/>
        <v>26</v>
      </c>
      <c r="E311" s="684">
        <v>45106</v>
      </c>
      <c r="F311" s="85" t="s">
        <v>112</v>
      </c>
      <c r="G311" s="85" t="s">
        <v>114</v>
      </c>
      <c r="H311" s="85" t="s">
        <v>114</v>
      </c>
      <c r="I311" s="167" t="s">
        <v>492</v>
      </c>
      <c r="J311" s="85" t="s">
        <v>74</v>
      </c>
      <c r="K311" s="85" t="s">
        <v>652</v>
      </c>
      <c r="L311" s="85" t="s">
        <v>185</v>
      </c>
      <c r="M311" s="467"/>
      <c r="N311" s="467">
        <v>299</v>
      </c>
      <c r="O311" s="468"/>
      <c r="P311" s="468">
        <f>200+800</f>
        <v>1000</v>
      </c>
      <c r="Q311" s="499" t="str">
        <f t="shared" si="13"/>
        <v/>
      </c>
      <c r="R311" s="500">
        <f t="shared" si="14"/>
        <v>299000</v>
      </c>
    </row>
    <row r="312" spans="2:18" hidden="1">
      <c r="B312" s="84">
        <v>302</v>
      </c>
      <c r="C312" s="498" t="s">
        <v>479</v>
      </c>
      <c r="D312" s="718">
        <f t="shared" si="12"/>
        <v>26</v>
      </c>
      <c r="E312" s="684">
        <v>45107</v>
      </c>
      <c r="F312" s="85" t="s">
        <v>107</v>
      </c>
      <c r="G312" s="85" t="s">
        <v>97</v>
      </c>
      <c r="H312" s="85" t="s">
        <v>338</v>
      </c>
      <c r="I312" s="86"/>
      <c r="J312" s="85" t="s">
        <v>74</v>
      </c>
      <c r="K312" s="85" t="s">
        <v>85</v>
      </c>
      <c r="L312" s="85" t="s">
        <v>91</v>
      </c>
      <c r="M312" s="467"/>
      <c r="N312" s="467">
        <v>2</v>
      </c>
      <c r="O312" s="468"/>
      <c r="P312" s="468">
        <f>8300+9400+9350+8020</f>
        <v>35070</v>
      </c>
      <c r="Q312" s="499" t="str">
        <f t="shared" si="13"/>
        <v/>
      </c>
      <c r="R312" s="500">
        <f t="shared" si="14"/>
        <v>70140</v>
      </c>
    </row>
    <row r="313" spans="2:18" hidden="1">
      <c r="B313" s="84">
        <v>303</v>
      </c>
      <c r="C313" s="507"/>
      <c r="D313" s="718">
        <f t="shared" si="12"/>
        <v>26</v>
      </c>
      <c r="E313" s="685">
        <v>45107</v>
      </c>
      <c r="F313" s="85"/>
      <c r="G313" s="508"/>
      <c r="H313" s="508"/>
      <c r="I313" s="509"/>
      <c r="J313" s="508" t="s">
        <v>81</v>
      </c>
      <c r="K313" s="508" t="s">
        <v>87</v>
      </c>
      <c r="L313" s="508" t="s">
        <v>91</v>
      </c>
      <c r="M313" s="467">
        <v>0.75</v>
      </c>
      <c r="N313" s="510"/>
      <c r="O313" s="511">
        <v>12000</v>
      </c>
      <c r="P313" s="511"/>
      <c r="Q313" s="499">
        <f t="shared" si="13"/>
        <v>9000</v>
      </c>
      <c r="R313" s="500" t="str">
        <f t="shared" si="14"/>
        <v/>
      </c>
    </row>
    <row r="314" spans="2:18" hidden="1">
      <c r="B314" s="84">
        <v>304</v>
      </c>
      <c r="C314" s="507"/>
      <c r="D314" s="718">
        <f t="shared" si="12"/>
        <v>26</v>
      </c>
      <c r="E314" s="685">
        <v>45107</v>
      </c>
      <c r="F314" s="85"/>
      <c r="G314" s="508"/>
      <c r="H314" s="508"/>
      <c r="I314" s="509"/>
      <c r="J314" s="508" t="s">
        <v>81</v>
      </c>
      <c r="K314" s="508" t="s">
        <v>161</v>
      </c>
      <c r="L314" s="508" t="s">
        <v>185</v>
      </c>
      <c r="M314" s="467">
        <v>199.92359142534642</v>
      </c>
      <c r="N314" s="510"/>
      <c r="O314" s="511">
        <v>400</v>
      </c>
      <c r="P314" s="511"/>
      <c r="Q314" s="499">
        <f t="shared" si="13"/>
        <v>79969.436570138569</v>
      </c>
      <c r="R314" s="500" t="str">
        <f t="shared" si="14"/>
        <v/>
      </c>
    </row>
    <row r="315" spans="2:18" hidden="1">
      <c r="B315" s="84">
        <v>305</v>
      </c>
      <c r="C315" s="507"/>
      <c r="D315" s="718">
        <f t="shared" si="12"/>
        <v>26</v>
      </c>
      <c r="E315" s="685">
        <v>45107</v>
      </c>
      <c r="F315" s="85"/>
      <c r="G315" s="508"/>
      <c r="H315" s="508"/>
      <c r="I315" s="509"/>
      <c r="J315" s="508" t="s">
        <v>81</v>
      </c>
      <c r="K315" s="508" t="s">
        <v>162</v>
      </c>
      <c r="L315" s="508" t="s">
        <v>163</v>
      </c>
      <c r="M315" s="510">
        <v>17000</v>
      </c>
      <c r="N315" s="510"/>
      <c r="O315" s="511">
        <f>(425+378+400+202)/1000</f>
        <v>1.405</v>
      </c>
      <c r="P315" s="511"/>
      <c r="Q315" s="499">
        <f t="shared" si="13"/>
        <v>23885</v>
      </c>
      <c r="R315" s="500" t="str">
        <f t="shared" si="14"/>
        <v/>
      </c>
    </row>
    <row r="316" spans="2:18" hidden="1">
      <c r="B316" s="84">
        <v>306</v>
      </c>
      <c r="C316" s="507"/>
      <c r="D316" s="718">
        <f t="shared" si="12"/>
        <v>26</v>
      </c>
      <c r="E316" s="685">
        <v>45107</v>
      </c>
      <c r="F316" s="85"/>
      <c r="G316" s="508"/>
      <c r="H316" s="508"/>
      <c r="I316" s="509"/>
      <c r="J316" s="508" t="s">
        <v>74</v>
      </c>
      <c r="K316" s="508" t="s">
        <v>162</v>
      </c>
      <c r="L316" s="508" t="s">
        <v>163</v>
      </c>
      <c r="M316" s="510"/>
      <c r="N316" s="510">
        <v>25000</v>
      </c>
      <c r="O316" s="511"/>
      <c r="P316" s="511">
        <f>(350+300+300+350+300+150+150+130+390)/1000</f>
        <v>2.42</v>
      </c>
      <c r="Q316" s="499" t="str">
        <f t="shared" si="13"/>
        <v/>
      </c>
      <c r="R316" s="500">
        <f t="shared" si="14"/>
        <v>60500</v>
      </c>
    </row>
    <row r="317" spans="2:18" hidden="1">
      <c r="B317" s="84">
        <v>307</v>
      </c>
      <c r="C317" s="507"/>
      <c r="D317" s="718">
        <f t="shared" si="12"/>
        <v>26</v>
      </c>
      <c r="E317" s="685">
        <v>45107</v>
      </c>
      <c r="F317" s="85" t="s">
        <v>113</v>
      </c>
      <c r="G317" s="508" t="s">
        <v>281</v>
      </c>
      <c r="H317" s="508" t="s">
        <v>281</v>
      </c>
      <c r="I317" s="509"/>
      <c r="J317" s="508" t="s">
        <v>74</v>
      </c>
      <c r="K317" s="508" t="s">
        <v>162</v>
      </c>
      <c r="L317" s="508" t="s">
        <v>163</v>
      </c>
      <c r="M317" s="510"/>
      <c r="N317" s="510">
        <v>42000</v>
      </c>
      <c r="O317" s="511"/>
      <c r="P317" s="511">
        <f>(187+63)/1000</f>
        <v>0.25</v>
      </c>
      <c r="Q317" s="499" t="str">
        <f t="shared" si="13"/>
        <v/>
      </c>
      <c r="R317" s="500">
        <f t="shared" si="14"/>
        <v>10500</v>
      </c>
    </row>
    <row r="318" spans="2:18" hidden="1">
      <c r="B318" s="84">
        <v>308</v>
      </c>
      <c r="C318" s="507"/>
      <c r="D318" s="718">
        <f t="shared" si="12"/>
        <v>26</v>
      </c>
      <c r="E318" s="685">
        <v>45107</v>
      </c>
      <c r="F318" s="508"/>
      <c r="G318" s="508"/>
      <c r="H318" s="508"/>
      <c r="I318" s="86"/>
      <c r="J318" s="508" t="s">
        <v>74</v>
      </c>
      <c r="K318" s="508" t="s">
        <v>164</v>
      </c>
      <c r="L318" s="508" t="s">
        <v>165</v>
      </c>
      <c r="M318" s="510"/>
      <c r="N318" s="510">
        <v>82.5</v>
      </c>
      <c r="O318" s="511"/>
      <c r="P318" s="511">
        <f>30+25</f>
        <v>55</v>
      </c>
      <c r="Q318" s="512" t="str">
        <f t="shared" si="13"/>
        <v/>
      </c>
      <c r="R318" s="500">
        <f t="shared" si="14"/>
        <v>4537.5</v>
      </c>
    </row>
    <row r="319" spans="2:18" hidden="1">
      <c r="B319" s="84">
        <v>309</v>
      </c>
      <c r="C319" s="507">
        <v>649</v>
      </c>
      <c r="D319" s="718">
        <f t="shared" si="12"/>
        <v>27</v>
      </c>
      <c r="E319" s="685">
        <v>45110</v>
      </c>
      <c r="F319" s="508" t="s">
        <v>112</v>
      </c>
      <c r="G319" s="508" t="s">
        <v>114</v>
      </c>
      <c r="H319" s="508" t="s">
        <v>114</v>
      </c>
      <c r="I319" s="513" t="s">
        <v>489</v>
      </c>
      <c r="J319" s="508" t="s">
        <v>74</v>
      </c>
      <c r="K319" s="508" t="s">
        <v>161</v>
      </c>
      <c r="L319" s="508" t="s">
        <v>185</v>
      </c>
      <c r="M319" s="510"/>
      <c r="N319" s="510">
        <v>240</v>
      </c>
      <c r="O319" s="511"/>
      <c r="P319" s="468">
        <v>400</v>
      </c>
      <c r="Q319" s="512" t="str">
        <f t="shared" si="13"/>
        <v/>
      </c>
      <c r="R319" s="500">
        <f t="shared" si="14"/>
        <v>96000</v>
      </c>
    </row>
    <row r="320" spans="2:18" hidden="1">
      <c r="B320" s="84">
        <v>310</v>
      </c>
      <c r="C320" s="507">
        <v>650</v>
      </c>
      <c r="D320" s="718">
        <f t="shared" si="12"/>
        <v>27</v>
      </c>
      <c r="E320" s="685">
        <v>45111</v>
      </c>
      <c r="F320" s="508" t="s">
        <v>113</v>
      </c>
      <c r="G320" s="508" t="s">
        <v>442</v>
      </c>
      <c r="H320" s="508" t="s">
        <v>442</v>
      </c>
      <c r="I320" s="509"/>
      <c r="J320" s="508" t="s">
        <v>74</v>
      </c>
      <c r="K320" s="508" t="s">
        <v>56</v>
      </c>
      <c r="L320" s="508" t="s">
        <v>91</v>
      </c>
      <c r="M320" s="510"/>
      <c r="N320" s="510">
        <v>80</v>
      </c>
      <c r="O320" s="511"/>
      <c r="P320" s="511">
        <v>2000</v>
      </c>
      <c r="Q320" s="512" t="str">
        <f t="shared" si="13"/>
        <v/>
      </c>
      <c r="R320" s="500">
        <f t="shared" si="14"/>
        <v>160000</v>
      </c>
    </row>
    <row r="321" spans="2:18" hidden="1">
      <c r="B321" s="84">
        <v>311</v>
      </c>
      <c r="C321" s="507"/>
      <c r="D321" s="718">
        <f t="shared" si="12"/>
        <v>27</v>
      </c>
      <c r="E321" s="685">
        <v>45114</v>
      </c>
      <c r="F321" s="508"/>
      <c r="G321" s="508"/>
      <c r="H321" s="508"/>
      <c r="I321" s="509"/>
      <c r="J321" s="508" t="s">
        <v>81</v>
      </c>
      <c r="K321" s="508" t="s">
        <v>164</v>
      </c>
      <c r="L321" s="508" t="s">
        <v>165</v>
      </c>
      <c r="M321" s="510">
        <v>287.6268905420971</v>
      </c>
      <c r="N321" s="510"/>
      <c r="O321" s="511">
        <v>259.39999999999998</v>
      </c>
      <c r="P321" s="511"/>
      <c r="Q321" s="499">
        <f t="shared" si="13"/>
        <v>74610.415406619984</v>
      </c>
      <c r="R321" s="500" t="str">
        <f t="shared" si="14"/>
        <v/>
      </c>
    </row>
    <row r="322" spans="2:18" hidden="1">
      <c r="B322" s="84">
        <v>312</v>
      </c>
      <c r="C322" s="507"/>
      <c r="D322" s="718">
        <f t="shared" si="12"/>
        <v>27</v>
      </c>
      <c r="E322" s="685">
        <v>45114</v>
      </c>
      <c r="F322" s="508"/>
      <c r="G322" s="508"/>
      <c r="H322" s="508"/>
      <c r="I322" s="509"/>
      <c r="J322" s="508" t="s">
        <v>81</v>
      </c>
      <c r="K322" s="508" t="s">
        <v>85</v>
      </c>
      <c r="L322" s="508" t="s">
        <v>91</v>
      </c>
      <c r="M322" s="510">
        <v>1.25</v>
      </c>
      <c r="N322" s="510"/>
      <c r="O322" s="511">
        <v>69200</v>
      </c>
      <c r="P322" s="511"/>
      <c r="Q322" s="512">
        <f t="shared" si="13"/>
        <v>86500</v>
      </c>
      <c r="R322" s="500" t="str">
        <f t="shared" si="14"/>
        <v/>
      </c>
    </row>
    <row r="323" spans="2:18" hidden="1">
      <c r="B323" s="84">
        <v>313</v>
      </c>
      <c r="C323" s="507"/>
      <c r="D323" s="718">
        <f t="shared" si="12"/>
        <v>27</v>
      </c>
      <c r="E323" s="685">
        <v>45114</v>
      </c>
      <c r="F323" s="508"/>
      <c r="G323" s="508"/>
      <c r="H323" s="508"/>
      <c r="I323" s="509"/>
      <c r="J323" s="508" t="s">
        <v>81</v>
      </c>
      <c r="K323" s="508" t="s">
        <v>87</v>
      </c>
      <c r="L323" s="508" t="s">
        <v>91</v>
      </c>
      <c r="M323" s="510">
        <v>0.75</v>
      </c>
      <c r="N323" s="510"/>
      <c r="O323" s="511">
        <v>10000</v>
      </c>
      <c r="P323" s="511"/>
      <c r="Q323" s="512">
        <f t="shared" si="13"/>
        <v>7500</v>
      </c>
      <c r="R323" s="500" t="str">
        <f t="shared" si="14"/>
        <v/>
      </c>
    </row>
    <row r="324" spans="2:18" hidden="1">
      <c r="B324" s="84">
        <v>314</v>
      </c>
      <c r="C324" s="507"/>
      <c r="D324" s="718">
        <f t="shared" si="12"/>
        <v>27</v>
      </c>
      <c r="E324" s="685">
        <v>45114</v>
      </c>
      <c r="F324" s="508"/>
      <c r="G324" s="508"/>
      <c r="H324" s="508"/>
      <c r="I324" s="509"/>
      <c r="J324" s="508" t="s">
        <v>74</v>
      </c>
      <c r="K324" s="508" t="s">
        <v>164</v>
      </c>
      <c r="L324" s="508" t="s">
        <v>165</v>
      </c>
      <c r="M324" s="510"/>
      <c r="N324" s="510">
        <v>82.5</v>
      </c>
      <c r="O324" s="511"/>
      <c r="P324" s="511">
        <v>30</v>
      </c>
      <c r="Q324" s="512" t="str">
        <f t="shared" si="13"/>
        <v/>
      </c>
      <c r="R324" s="500">
        <f t="shared" si="14"/>
        <v>2475</v>
      </c>
    </row>
    <row r="325" spans="2:18" hidden="1">
      <c r="B325" s="84">
        <v>315</v>
      </c>
      <c r="C325" s="507"/>
      <c r="D325" s="718">
        <f t="shared" si="12"/>
        <v>27</v>
      </c>
      <c r="E325" s="685">
        <v>45115</v>
      </c>
      <c r="F325" s="508"/>
      <c r="G325" s="508"/>
      <c r="H325" s="508"/>
      <c r="I325" s="509"/>
      <c r="J325" s="508" t="s">
        <v>81</v>
      </c>
      <c r="K325" s="508" t="s">
        <v>162</v>
      </c>
      <c r="L325" s="508" t="s">
        <v>163</v>
      </c>
      <c r="M325" s="510">
        <v>17000</v>
      </c>
      <c r="N325" s="510"/>
      <c r="O325" s="511">
        <f>(323+284+332+152)/1000</f>
        <v>1.091</v>
      </c>
      <c r="P325" s="468"/>
      <c r="Q325" s="512">
        <f t="shared" si="13"/>
        <v>18547</v>
      </c>
      <c r="R325" s="500" t="str">
        <f t="shared" si="14"/>
        <v/>
      </c>
    </row>
    <row r="326" spans="2:18" hidden="1">
      <c r="B326" s="84">
        <v>316</v>
      </c>
      <c r="C326" s="507"/>
      <c r="D326" s="718">
        <f t="shared" si="12"/>
        <v>27</v>
      </c>
      <c r="E326" s="685">
        <v>45115</v>
      </c>
      <c r="F326" s="508" t="s">
        <v>277</v>
      </c>
      <c r="G326" s="508" t="s">
        <v>361</v>
      </c>
      <c r="H326" s="508" t="s">
        <v>283</v>
      </c>
      <c r="I326" s="509"/>
      <c r="J326" s="508" t="s">
        <v>74</v>
      </c>
      <c r="K326" s="508" t="s">
        <v>162</v>
      </c>
      <c r="L326" s="508" t="s">
        <v>163</v>
      </c>
      <c r="M326" s="510"/>
      <c r="N326" s="510"/>
      <c r="O326" s="511"/>
      <c r="P326" s="511">
        <f>110/1000</f>
        <v>0.11</v>
      </c>
      <c r="Q326" s="512" t="str">
        <f t="shared" si="13"/>
        <v/>
      </c>
      <c r="R326" s="500" t="str">
        <f t="shared" si="14"/>
        <v/>
      </c>
    </row>
    <row r="327" spans="2:18" hidden="1">
      <c r="B327" s="84">
        <v>317</v>
      </c>
      <c r="C327" s="507"/>
      <c r="D327" s="718">
        <f t="shared" si="12"/>
        <v>27</v>
      </c>
      <c r="E327" s="685">
        <v>45115</v>
      </c>
      <c r="F327" s="508"/>
      <c r="G327" s="508"/>
      <c r="H327" s="508"/>
      <c r="I327" s="509"/>
      <c r="J327" s="508" t="s">
        <v>74</v>
      </c>
      <c r="K327" s="508" t="s">
        <v>162</v>
      </c>
      <c r="L327" s="508" t="s">
        <v>163</v>
      </c>
      <c r="M327" s="510"/>
      <c r="N327" s="510">
        <v>25000</v>
      </c>
      <c r="O327" s="511"/>
      <c r="P327" s="511">
        <f>(110+175+150+200+150)/1000</f>
        <v>0.78500000000000003</v>
      </c>
      <c r="Q327" s="512" t="str">
        <f t="shared" si="13"/>
        <v/>
      </c>
      <c r="R327" s="500">
        <f t="shared" si="14"/>
        <v>19625</v>
      </c>
    </row>
    <row r="328" spans="2:18" hidden="1">
      <c r="B328" s="84">
        <v>318</v>
      </c>
      <c r="C328" s="507"/>
      <c r="D328" s="718">
        <f t="shared" si="12"/>
        <v>27</v>
      </c>
      <c r="E328" s="685">
        <v>45115</v>
      </c>
      <c r="F328" s="508" t="s">
        <v>113</v>
      </c>
      <c r="G328" s="508" t="s">
        <v>280</v>
      </c>
      <c r="H328" s="508" t="s">
        <v>280</v>
      </c>
      <c r="I328" s="509"/>
      <c r="J328" s="508" t="s">
        <v>74</v>
      </c>
      <c r="K328" s="508" t="s">
        <v>162</v>
      </c>
      <c r="L328" s="508" t="s">
        <v>163</v>
      </c>
      <c r="M328" s="510"/>
      <c r="N328" s="510">
        <v>42000</v>
      </c>
      <c r="O328" s="511"/>
      <c r="P328" s="511">
        <f>320/1000</f>
        <v>0.32</v>
      </c>
      <c r="Q328" s="512" t="str">
        <f t="shared" si="13"/>
        <v/>
      </c>
      <c r="R328" s="500">
        <f t="shared" si="14"/>
        <v>13440</v>
      </c>
    </row>
    <row r="329" spans="2:18" hidden="1">
      <c r="B329" s="84">
        <v>319</v>
      </c>
      <c r="C329" s="507" t="s">
        <v>486</v>
      </c>
      <c r="D329" s="718">
        <f t="shared" si="12"/>
        <v>27</v>
      </c>
      <c r="E329" s="685">
        <v>45115</v>
      </c>
      <c r="F329" s="508" t="s">
        <v>93</v>
      </c>
      <c r="G329" s="508" t="s">
        <v>8</v>
      </c>
      <c r="H329" s="508" t="s">
        <v>285</v>
      </c>
      <c r="I329" s="509"/>
      <c r="J329" s="508" t="s">
        <v>74</v>
      </c>
      <c r="K329" s="508" t="s">
        <v>87</v>
      </c>
      <c r="L329" s="508" t="s">
        <v>91</v>
      </c>
      <c r="M329" s="510"/>
      <c r="N329" s="510">
        <v>1.2</v>
      </c>
      <c r="O329" s="511"/>
      <c r="P329" s="511">
        <f>10000+10000</f>
        <v>20000</v>
      </c>
      <c r="Q329" s="512" t="str">
        <f t="shared" si="13"/>
        <v/>
      </c>
      <c r="R329" s="500">
        <f t="shared" si="14"/>
        <v>24000</v>
      </c>
    </row>
    <row r="330" spans="2:18" hidden="1">
      <c r="B330" s="84">
        <v>320</v>
      </c>
      <c r="C330" s="507"/>
      <c r="D330" s="718">
        <f t="shared" si="12"/>
        <v>28</v>
      </c>
      <c r="E330" s="685">
        <v>45118</v>
      </c>
      <c r="F330" s="508"/>
      <c r="G330" s="508"/>
      <c r="H330" s="508"/>
      <c r="I330" s="509"/>
      <c r="J330" s="508" t="s">
        <v>74</v>
      </c>
      <c r="K330" s="508" t="s">
        <v>164</v>
      </c>
      <c r="L330" s="508" t="s">
        <v>165</v>
      </c>
      <c r="M330" s="510"/>
      <c r="N330" s="510"/>
      <c r="O330" s="511"/>
      <c r="P330" s="514">
        <v>1.5</v>
      </c>
      <c r="Q330" s="499" t="str">
        <f t="shared" si="13"/>
        <v/>
      </c>
      <c r="R330" s="500" t="str">
        <f t="shared" si="14"/>
        <v/>
      </c>
    </row>
    <row r="331" spans="2:18" hidden="1">
      <c r="B331" s="84">
        <v>321</v>
      </c>
      <c r="C331" s="507"/>
      <c r="D331" s="718">
        <f t="shared" ref="D331:D394" si="15">WEEKNUM(E331,21)</f>
        <v>28</v>
      </c>
      <c r="E331" s="685">
        <v>45121</v>
      </c>
      <c r="F331" s="508"/>
      <c r="G331" s="508"/>
      <c r="H331" s="508"/>
      <c r="I331" s="509"/>
      <c r="J331" s="508" t="s">
        <v>74</v>
      </c>
      <c r="K331" s="508" t="s">
        <v>164</v>
      </c>
      <c r="L331" s="508" t="s">
        <v>165</v>
      </c>
      <c r="M331" s="510"/>
      <c r="N331" s="510">
        <v>82.5</v>
      </c>
      <c r="O331" s="511"/>
      <c r="P331" s="511">
        <v>32</v>
      </c>
      <c r="Q331" s="512" t="str">
        <f t="shared" ref="Q331:Q394" si="16">IF((M331*O331)&lt;=0,"",(M331*O331))</f>
        <v/>
      </c>
      <c r="R331" s="500">
        <f t="shared" ref="R331:R394" si="17">IF((N331*P331)&lt;=0,"",(N331*P331))</f>
        <v>2640</v>
      </c>
    </row>
    <row r="332" spans="2:18" hidden="1">
      <c r="B332" s="84">
        <v>322</v>
      </c>
      <c r="C332" s="507"/>
      <c r="D332" s="718">
        <f t="shared" si="15"/>
        <v>28</v>
      </c>
      <c r="E332" s="685">
        <v>45122</v>
      </c>
      <c r="F332" s="508"/>
      <c r="G332" s="508"/>
      <c r="H332" s="508"/>
      <c r="I332" s="509"/>
      <c r="J332" s="508" t="s">
        <v>81</v>
      </c>
      <c r="K332" s="508" t="s">
        <v>162</v>
      </c>
      <c r="L332" s="508" t="s">
        <v>163</v>
      </c>
      <c r="M332" s="510">
        <v>17000</v>
      </c>
      <c r="N332" s="510"/>
      <c r="O332" s="511">
        <f>(260+180+260+260)/1000</f>
        <v>0.96</v>
      </c>
      <c r="P332" s="511"/>
      <c r="Q332" s="512">
        <f t="shared" si="16"/>
        <v>16320</v>
      </c>
      <c r="R332" s="500" t="str">
        <f t="shared" si="17"/>
        <v/>
      </c>
    </row>
    <row r="333" spans="2:18" hidden="1">
      <c r="B333" s="84">
        <v>323</v>
      </c>
      <c r="C333" s="507"/>
      <c r="D333" s="718">
        <f t="shared" si="15"/>
        <v>28</v>
      </c>
      <c r="E333" s="685">
        <v>45122</v>
      </c>
      <c r="F333" s="508"/>
      <c r="G333" s="508"/>
      <c r="H333" s="508"/>
      <c r="I333" s="509"/>
      <c r="J333" s="508" t="s">
        <v>74</v>
      </c>
      <c r="K333" s="508" t="s">
        <v>162</v>
      </c>
      <c r="L333" s="508" t="s">
        <v>163</v>
      </c>
      <c r="M333" s="510"/>
      <c r="N333" s="510">
        <v>25000</v>
      </c>
      <c r="O333" s="511"/>
      <c r="P333" s="511">
        <f>(390+15)/1000</f>
        <v>0.40500000000000003</v>
      </c>
      <c r="Q333" s="512" t="str">
        <f t="shared" si="16"/>
        <v/>
      </c>
      <c r="R333" s="500">
        <f t="shared" si="17"/>
        <v>10125</v>
      </c>
    </row>
    <row r="334" spans="2:18" hidden="1">
      <c r="B334" s="84">
        <v>324</v>
      </c>
      <c r="C334" s="507"/>
      <c r="D334" s="718">
        <f t="shared" si="15"/>
        <v>28</v>
      </c>
      <c r="E334" s="685">
        <v>45122</v>
      </c>
      <c r="F334" s="508" t="s">
        <v>113</v>
      </c>
      <c r="G334" s="508" t="s">
        <v>281</v>
      </c>
      <c r="H334" s="508" t="s">
        <v>281</v>
      </c>
      <c r="I334" s="509"/>
      <c r="J334" s="508" t="s">
        <v>74</v>
      </c>
      <c r="K334" s="508" t="s">
        <v>162</v>
      </c>
      <c r="L334" s="508" t="s">
        <v>163</v>
      </c>
      <c r="M334" s="510"/>
      <c r="N334" s="510">
        <v>42000</v>
      </c>
      <c r="O334" s="511"/>
      <c r="P334" s="511">
        <f>(225+85)/1000</f>
        <v>0.31</v>
      </c>
      <c r="Q334" s="512" t="str">
        <f t="shared" si="16"/>
        <v/>
      </c>
      <c r="R334" s="500">
        <f t="shared" si="17"/>
        <v>13020</v>
      </c>
    </row>
    <row r="335" spans="2:18" hidden="1">
      <c r="B335" s="84">
        <v>325</v>
      </c>
      <c r="C335" s="507"/>
      <c r="D335" s="718">
        <f t="shared" si="15"/>
        <v>28</v>
      </c>
      <c r="E335" s="685">
        <v>45122</v>
      </c>
      <c r="F335" s="508"/>
      <c r="G335" s="508"/>
      <c r="H335" s="508"/>
      <c r="I335" s="509"/>
      <c r="J335" s="508" t="s">
        <v>81</v>
      </c>
      <c r="K335" s="508" t="s">
        <v>87</v>
      </c>
      <c r="L335" s="508" t="s">
        <v>91</v>
      </c>
      <c r="M335" s="510">
        <v>0.75</v>
      </c>
      <c r="N335" s="510"/>
      <c r="O335" s="511">
        <v>8000</v>
      </c>
      <c r="P335" s="511"/>
      <c r="Q335" s="512">
        <f t="shared" si="16"/>
        <v>6000</v>
      </c>
      <c r="R335" s="500" t="str">
        <f t="shared" si="17"/>
        <v/>
      </c>
    </row>
    <row r="336" spans="2:18" hidden="1">
      <c r="B336" s="84">
        <v>326</v>
      </c>
      <c r="C336" s="507" t="s">
        <v>487</v>
      </c>
      <c r="D336" s="718">
        <f t="shared" si="15"/>
        <v>28</v>
      </c>
      <c r="E336" s="685">
        <v>45122</v>
      </c>
      <c r="F336" s="508" t="s">
        <v>104</v>
      </c>
      <c r="G336" s="508" t="s">
        <v>95</v>
      </c>
      <c r="H336" s="508" t="s">
        <v>303</v>
      </c>
      <c r="I336" s="509"/>
      <c r="J336" s="508" t="s">
        <v>74</v>
      </c>
      <c r="K336" s="508" t="s">
        <v>87</v>
      </c>
      <c r="L336" s="508" t="s">
        <v>91</v>
      </c>
      <c r="M336" s="510"/>
      <c r="N336" s="510">
        <v>1.2</v>
      </c>
      <c r="O336" s="511"/>
      <c r="P336" s="511">
        <v>1000</v>
      </c>
      <c r="Q336" s="512" t="str">
        <f t="shared" si="16"/>
        <v/>
      </c>
      <c r="R336" s="500">
        <f t="shared" si="17"/>
        <v>1200</v>
      </c>
    </row>
    <row r="337" spans="2:18" hidden="1">
      <c r="B337" s="84">
        <v>327</v>
      </c>
      <c r="C337" s="507" t="s">
        <v>488</v>
      </c>
      <c r="D337" s="718">
        <f t="shared" si="15"/>
        <v>28</v>
      </c>
      <c r="E337" s="685">
        <v>45122</v>
      </c>
      <c r="F337" s="508" t="s">
        <v>440</v>
      </c>
      <c r="G337" s="508" t="s">
        <v>441</v>
      </c>
      <c r="H337" s="508" t="s">
        <v>91</v>
      </c>
      <c r="I337" s="509"/>
      <c r="J337" s="508" t="s">
        <v>74</v>
      </c>
      <c r="K337" s="508" t="s">
        <v>87</v>
      </c>
      <c r="L337" s="508" t="s">
        <v>91</v>
      </c>
      <c r="M337" s="510"/>
      <c r="N337" s="510"/>
      <c r="O337" s="511"/>
      <c r="P337" s="515">
        <v>750</v>
      </c>
      <c r="Q337" s="512" t="str">
        <f t="shared" si="16"/>
        <v/>
      </c>
      <c r="R337" s="500" t="str">
        <f t="shared" si="17"/>
        <v/>
      </c>
    </row>
    <row r="338" spans="2:18" hidden="1">
      <c r="B338" s="84">
        <v>328</v>
      </c>
      <c r="C338" s="507"/>
      <c r="D338" s="718">
        <f t="shared" si="15"/>
        <v>28</v>
      </c>
      <c r="E338" s="685">
        <v>45122</v>
      </c>
      <c r="F338" s="508"/>
      <c r="G338" s="508"/>
      <c r="H338" s="508"/>
      <c r="I338" s="509"/>
      <c r="J338" s="508" t="s">
        <v>81</v>
      </c>
      <c r="K338" s="508" t="s">
        <v>56</v>
      </c>
      <c r="L338" s="508" t="s">
        <v>91</v>
      </c>
      <c r="M338" s="510">
        <v>27.769467619047621</v>
      </c>
      <c r="N338" s="510"/>
      <c r="O338" s="511">
        <f>(1000+1000)</f>
        <v>2000</v>
      </c>
      <c r="P338" s="511"/>
      <c r="Q338" s="512">
        <f t="shared" si="16"/>
        <v>55538.93523809524</v>
      </c>
      <c r="R338" s="500" t="str">
        <f t="shared" si="17"/>
        <v/>
      </c>
    </row>
    <row r="339" spans="2:18" hidden="1">
      <c r="B339" s="84">
        <v>329</v>
      </c>
      <c r="C339" s="507"/>
      <c r="D339" s="718">
        <f t="shared" si="15"/>
        <v>28</v>
      </c>
      <c r="E339" s="685">
        <v>45122</v>
      </c>
      <c r="F339" s="508"/>
      <c r="G339" s="508"/>
      <c r="H339" s="508"/>
      <c r="I339" s="509"/>
      <c r="J339" s="508" t="s">
        <v>81</v>
      </c>
      <c r="K339" s="508" t="s">
        <v>86</v>
      </c>
      <c r="L339" s="508" t="s">
        <v>91</v>
      </c>
      <c r="M339" s="510">
        <v>2.2000000000000002</v>
      </c>
      <c r="N339" s="510"/>
      <c r="O339" s="511">
        <f>6000+6000</f>
        <v>12000</v>
      </c>
      <c r="P339" s="511"/>
      <c r="Q339" s="512">
        <f t="shared" si="16"/>
        <v>26400.000000000004</v>
      </c>
      <c r="R339" s="500" t="str">
        <f t="shared" si="17"/>
        <v/>
      </c>
    </row>
    <row r="340" spans="2:18" hidden="1">
      <c r="B340" s="84">
        <v>330</v>
      </c>
      <c r="C340" s="507" t="s">
        <v>580</v>
      </c>
      <c r="D340" s="718">
        <f t="shared" si="15"/>
        <v>29</v>
      </c>
      <c r="E340" s="685">
        <v>45124</v>
      </c>
      <c r="F340" s="508"/>
      <c r="G340" s="508"/>
      <c r="H340" s="508"/>
      <c r="I340" s="509"/>
      <c r="J340" s="508" t="s">
        <v>74</v>
      </c>
      <c r="K340" s="508" t="s">
        <v>85</v>
      </c>
      <c r="L340" s="508" t="s">
        <v>91</v>
      </c>
      <c r="M340" s="510"/>
      <c r="N340" s="510">
        <v>2</v>
      </c>
      <c r="O340" s="511"/>
      <c r="P340" s="468">
        <f>2790+11530+11460+9960+11380+10470</f>
        <v>57590</v>
      </c>
      <c r="Q340" s="512" t="str">
        <f t="shared" si="16"/>
        <v/>
      </c>
      <c r="R340" s="500">
        <f t="shared" si="17"/>
        <v>115180</v>
      </c>
    </row>
    <row r="341" spans="2:18">
      <c r="B341" s="84">
        <v>331</v>
      </c>
      <c r="C341" s="507" t="s">
        <v>591</v>
      </c>
      <c r="D341" s="718">
        <f t="shared" si="15"/>
        <v>29</v>
      </c>
      <c r="E341" s="685">
        <v>45124</v>
      </c>
      <c r="F341" s="508" t="s">
        <v>111</v>
      </c>
      <c r="G341" s="508" t="s">
        <v>426</v>
      </c>
      <c r="H341" s="508" t="s">
        <v>426</v>
      </c>
      <c r="I341" s="509"/>
      <c r="J341" s="508" t="s">
        <v>74</v>
      </c>
      <c r="K341" s="508" t="s">
        <v>86</v>
      </c>
      <c r="L341" s="508" t="s">
        <v>91</v>
      </c>
      <c r="M341" s="510"/>
      <c r="N341" s="510">
        <v>3.5</v>
      </c>
      <c r="O341" s="511"/>
      <c r="P341" s="511">
        <v>2170</v>
      </c>
      <c r="Q341" s="512" t="str">
        <f t="shared" si="16"/>
        <v/>
      </c>
      <c r="R341" s="500">
        <f t="shared" si="17"/>
        <v>7595</v>
      </c>
    </row>
    <row r="342" spans="2:18" hidden="1">
      <c r="B342" s="84">
        <v>332</v>
      </c>
      <c r="C342" s="507"/>
      <c r="D342" s="718">
        <f t="shared" si="15"/>
        <v>29</v>
      </c>
      <c r="E342" s="685">
        <v>45125</v>
      </c>
      <c r="F342" s="508"/>
      <c r="G342" s="508"/>
      <c r="H342" s="508"/>
      <c r="I342" s="509"/>
      <c r="J342" s="508" t="s">
        <v>81</v>
      </c>
      <c r="K342" s="508" t="s">
        <v>652</v>
      </c>
      <c r="L342" s="508" t="s">
        <v>185</v>
      </c>
      <c r="M342" s="510">
        <v>247.18544827008316</v>
      </c>
      <c r="N342" s="510"/>
      <c r="O342" s="511">
        <v>600</v>
      </c>
      <c r="P342" s="511"/>
      <c r="Q342" s="512">
        <f t="shared" si="16"/>
        <v>148311.26896204989</v>
      </c>
      <c r="R342" s="500" t="str">
        <f t="shared" si="17"/>
        <v/>
      </c>
    </row>
    <row r="343" spans="2:18" hidden="1">
      <c r="B343" s="84">
        <v>333</v>
      </c>
      <c r="C343" s="507">
        <v>651</v>
      </c>
      <c r="D343" s="718">
        <f t="shared" si="15"/>
        <v>29</v>
      </c>
      <c r="E343" s="685">
        <v>45126</v>
      </c>
      <c r="F343" s="508" t="s">
        <v>112</v>
      </c>
      <c r="G343" s="508" t="s">
        <v>114</v>
      </c>
      <c r="H343" s="508" t="s">
        <v>114</v>
      </c>
      <c r="I343" s="85" t="s">
        <v>623</v>
      </c>
      <c r="J343" s="508" t="s">
        <v>74</v>
      </c>
      <c r="K343" s="508" t="s">
        <v>652</v>
      </c>
      <c r="L343" s="508" t="s">
        <v>185</v>
      </c>
      <c r="M343" s="510"/>
      <c r="N343" s="510">
        <v>299</v>
      </c>
      <c r="O343" s="511"/>
      <c r="P343" s="511">
        <v>400</v>
      </c>
      <c r="Q343" s="512" t="str">
        <f t="shared" si="16"/>
        <v/>
      </c>
      <c r="R343" s="500">
        <f t="shared" si="17"/>
        <v>119600</v>
      </c>
    </row>
    <row r="344" spans="2:18" hidden="1">
      <c r="B344" s="84">
        <v>334</v>
      </c>
      <c r="C344" s="507"/>
      <c r="D344" s="718">
        <f t="shared" si="15"/>
        <v>29</v>
      </c>
      <c r="E344" s="685">
        <v>45126</v>
      </c>
      <c r="F344" s="508"/>
      <c r="G344" s="508"/>
      <c r="H344" s="508"/>
      <c r="I344" s="509"/>
      <c r="J344" s="508" t="s">
        <v>81</v>
      </c>
      <c r="K344" s="508" t="s">
        <v>56</v>
      </c>
      <c r="L344" s="508" t="s">
        <v>91</v>
      </c>
      <c r="M344" s="510">
        <v>27.769467619047621</v>
      </c>
      <c r="N344" s="510"/>
      <c r="O344" s="511">
        <v>1000</v>
      </c>
      <c r="P344" s="511"/>
      <c r="Q344" s="512">
        <f t="shared" si="16"/>
        <v>27769.46761904762</v>
      </c>
      <c r="R344" s="500" t="str">
        <f t="shared" si="17"/>
        <v/>
      </c>
    </row>
    <row r="345" spans="2:18" hidden="1">
      <c r="B345" s="84">
        <v>335</v>
      </c>
      <c r="C345" s="507"/>
      <c r="D345" s="718">
        <f t="shared" si="15"/>
        <v>29</v>
      </c>
      <c r="E345" s="685">
        <v>45127</v>
      </c>
      <c r="F345" s="508"/>
      <c r="G345" s="508"/>
      <c r="H345" s="508"/>
      <c r="I345" s="509"/>
      <c r="J345" s="508" t="s">
        <v>74</v>
      </c>
      <c r="K345" s="508" t="s">
        <v>164</v>
      </c>
      <c r="L345" s="508" t="s">
        <v>165</v>
      </c>
      <c r="M345" s="510"/>
      <c r="N345" s="510">
        <v>82.5</v>
      </c>
      <c r="O345" s="511"/>
      <c r="P345" s="511">
        <v>40</v>
      </c>
      <c r="Q345" s="512" t="str">
        <f t="shared" si="16"/>
        <v/>
      </c>
      <c r="R345" s="500">
        <f t="shared" si="17"/>
        <v>3300</v>
      </c>
    </row>
    <row r="346" spans="2:18" hidden="1">
      <c r="B346" s="84">
        <v>336</v>
      </c>
      <c r="C346" s="507"/>
      <c r="D346" s="718">
        <f t="shared" si="15"/>
        <v>29</v>
      </c>
      <c r="E346" s="685">
        <v>45129</v>
      </c>
      <c r="F346" s="508"/>
      <c r="G346" s="508"/>
      <c r="H346" s="508"/>
      <c r="I346" s="509"/>
      <c r="J346" s="508" t="s">
        <v>81</v>
      </c>
      <c r="K346" s="508" t="s">
        <v>162</v>
      </c>
      <c r="L346" s="508" t="s">
        <v>163</v>
      </c>
      <c r="M346" s="510">
        <v>17000</v>
      </c>
      <c r="N346" s="510"/>
      <c r="O346" s="511">
        <f>(426+326+380+165)/1000</f>
        <v>1.2969999999999999</v>
      </c>
      <c r="P346" s="511"/>
      <c r="Q346" s="512">
        <f t="shared" si="16"/>
        <v>22049</v>
      </c>
      <c r="R346" s="500" t="str">
        <f t="shared" si="17"/>
        <v/>
      </c>
    </row>
    <row r="347" spans="2:18" hidden="1">
      <c r="B347" s="84">
        <v>337</v>
      </c>
      <c r="C347" s="507"/>
      <c r="D347" s="718">
        <f t="shared" si="15"/>
        <v>29</v>
      </c>
      <c r="E347" s="685">
        <v>45129</v>
      </c>
      <c r="F347" s="508" t="s">
        <v>277</v>
      </c>
      <c r="G347" s="508" t="s">
        <v>361</v>
      </c>
      <c r="H347" s="508" t="s">
        <v>283</v>
      </c>
      <c r="I347" s="509"/>
      <c r="J347" s="508" t="s">
        <v>74</v>
      </c>
      <c r="K347" s="508" t="s">
        <v>162</v>
      </c>
      <c r="L347" s="508" t="s">
        <v>163</v>
      </c>
      <c r="M347" s="510"/>
      <c r="N347" s="510"/>
      <c r="O347" s="511"/>
      <c r="P347" s="511">
        <f>110/1000</f>
        <v>0.11</v>
      </c>
      <c r="Q347" s="512" t="str">
        <f t="shared" si="16"/>
        <v/>
      </c>
      <c r="R347" s="500" t="str">
        <f t="shared" si="17"/>
        <v/>
      </c>
    </row>
    <row r="348" spans="2:18" hidden="1">
      <c r="B348" s="84">
        <v>338</v>
      </c>
      <c r="C348" s="507"/>
      <c r="D348" s="718">
        <f t="shared" si="15"/>
        <v>29</v>
      </c>
      <c r="E348" s="685">
        <v>45129</v>
      </c>
      <c r="F348" s="508"/>
      <c r="G348" s="508"/>
      <c r="H348" s="508"/>
      <c r="I348" s="509"/>
      <c r="J348" s="508" t="s">
        <v>74</v>
      </c>
      <c r="K348" s="508" t="s">
        <v>162</v>
      </c>
      <c r="L348" s="508" t="s">
        <v>163</v>
      </c>
      <c r="M348" s="510"/>
      <c r="N348" s="510">
        <v>25000</v>
      </c>
      <c r="O348" s="511"/>
      <c r="P348" s="511">
        <f>(150+350+350)/1000</f>
        <v>0.85</v>
      </c>
      <c r="Q348" s="512" t="str">
        <f t="shared" si="16"/>
        <v/>
      </c>
      <c r="R348" s="500">
        <f t="shared" si="17"/>
        <v>21250</v>
      </c>
    </row>
    <row r="349" spans="2:18" hidden="1">
      <c r="B349" s="84">
        <v>339</v>
      </c>
      <c r="C349" s="507"/>
      <c r="D349" s="718">
        <f t="shared" si="15"/>
        <v>29</v>
      </c>
      <c r="E349" s="685">
        <v>45129</v>
      </c>
      <c r="F349" s="508" t="s">
        <v>113</v>
      </c>
      <c r="G349" s="508" t="s">
        <v>280</v>
      </c>
      <c r="H349" s="508" t="s">
        <v>280</v>
      </c>
      <c r="I349" s="509"/>
      <c r="J349" s="508" t="s">
        <v>74</v>
      </c>
      <c r="K349" s="508" t="s">
        <v>162</v>
      </c>
      <c r="L349" s="508" t="s">
        <v>163</v>
      </c>
      <c r="M349" s="510"/>
      <c r="N349" s="510">
        <v>42000</v>
      </c>
      <c r="O349" s="511"/>
      <c r="P349" s="511">
        <f>320/1000</f>
        <v>0.32</v>
      </c>
      <c r="Q349" s="512" t="str">
        <f t="shared" si="16"/>
        <v/>
      </c>
      <c r="R349" s="500">
        <f t="shared" si="17"/>
        <v>13440</v>
      </c>
    </row>
    <row r="350" spans="2:18" hidden="1">
      <c r="B350" s="84">
        <v>340</v>
      </c>
      <c r="C350" s="507"/>
      <c r="D350" s="718">
        <f t="shared" si="15"/>
        <v>29</v>
      </c>
      <c r="E350" s="685">
        <v>45129</v>
      </c>
      <c r="F350" s="508"/>
      <c r="G350" s="508"/>
      <c r="H350" s="508"/>
      <c r="I350" s="509"/>
      <c r="J350" s="508" t="s">
        <v>81</v>
      </c>
      <c r="K350" s="508" t="s">
        <v>87</v>
      </c>
      <c r="L350" s="508" t="s">
        <v>91</v>
      </c>
      <c r="M350" s="510">
        <v>0.75</v>
      </c>
      <c r="N350" s="510"/>
      <c r="O350" s="511">
        <v>20000</v>
      </c>
      <c r="P350" s="511"/>
      <c r="Q350" s="512">
        <f t="shared" si="16"/>
        <v>15000</v>
      </c>
      <c r="R350" s="500" t="str">
        <f t="shared" si="17"/>
        <v/>
      </c>
    </row>
    <row r="351" spans="2:18" hidden="1">
      <c r="B351" s="84">
        <v>341</v>
      </c>
      <c r="C351" s="507" t="s">
        <v>493</v>
      </c>
      <c r="D351" s="718">
        <f t="shared" si="15"/>
        <v>29</v>
      </c>
      <c r="E351" s="685">
        <v>45129</v>
      </c>
      <c r="F351" s="508" t="s">
        <v>440</v>
      </c>
      <c r="G351" s="508" t="s">
        <v>441</v>
      </c>
      <c r="H351" s="508" t="s">
        <v>91</v>
      </c>
      <c r="I351" s="509"/>
      <c r="J351" s="508" t="s">
        <v>74</v>
      </c>
      <c r="K351" s="508" t="s">
        <v>87</v>
      </c>
      <c r="L351" s="508" t="s">
        <v>91</v>
      </c>
      <c r="M351" s="510"/>
      <c r="N351" s="510"/>
      <c r="O351" s="511"/>
      <c r="P351" s="515">
        <v>375</v>
      </c>
      <c r="Q351" s="512" t="str">
        <f t="shared" si="16"/>
        <v/>
      </c>
      <c r="R351" s="500" t="str">
        <f t="shared" si="17"/>
        <v/>
      </c>
    </row>
    <row r="352" spans="2:18" hidden="1">
      <c r="B352" s="84">
        <v>342</v>
      </c>
      <c r="C352" s="498" t="s">
        <v>494</v>
      </c>
      <c r="D352" s="718">
        <f t="shared" si="15"/>
        <v>29</v>
      </c>
      <c r="E352" s="684">
        <v>45129</v>
      </c>
      <c r="F352" s="85" t="s">
        <v>106</v>
      </c>
      <c r="G352" s="85" t="s">
        <v>96</v>
      </c>
      <c r="H352" s="85" t="s">
        <v>330</v>
      </c>
      <c r="I352" s="86"/>
      <c r="J352" s="85" t="s">
        <v>74</v>
      </c>
      <c r="K352" s="85" t="s">
        <v>87</v>
      </c>
      <c r="L352" s="85" t="s">
        <v>91</v>
      </c>
      <c r="M352" s="467"/>
      <c r="N352" s="467">
        <v>1.2</v>
      </c>
      <c r="O352" s="468"/>
      <c r="P352" s="468">
        <f>10000+160</f>
        <v>10160</v>
      </c>
      <c r="Q352" s="499" t="str">
        <f t="shared" si="16"/>
        <v/>
      </c>
      <c r="R352" s="500">
        <f t="shared" si="17"/>
        <v>12192</v>
      </c>
    </row>
    <row r="353" spans="2:18">
      <c r="B353" s="84">
        <v>343</v>
      </c>
      <c r="C353" s="498" t="s">
        <v>592</v>
      </c>
      <c r="D353" s="718">
        <f t="shared" si="15"/>
        <v>30</v>
      </c>
      <c r="E353" s="684">
        <v>45132</v>
      </c>
      <c r="F353" s="85" t="s">
        <v>107</v>
      </c>
      <c r="G353" s="85" t="s">
        <v>97</v>
      </c>
      <c r="H353" s="85" t="s">
        <v>338</v>
      </c>
      <c r="I353" s="86"/>
      <c r="J353" s="85" t="s">
        <v>74</v>
      </c>
      <c r="K353" s="85" t="s">
        <v>86</v>
      </c>
      <c r="L353" s="85" t="s">
        <v>91</v>
      </c>
      <c r="M353" s="467"/>
      <c r="N353" s="467">
        <v>3.5</v>
      </c>
      <c r="O353" s="468"/>
      <c r="P353" s="468">
        <v>11850</v>
      </c>
      <c r="Q353" s="499" t="str">
        <f t="shared" si="16"/>
        <v/>
      </c>
      <c r="R353" s="500">
        <f t="shared" si="17"/>
        <v>41475</v>
      </c>
    </row>
    <row r="354" spans="2:18" hidden="1">
      <c r="B354" s="84">
        <v>344</v>
      </c>
      <c r="C354" s="498"/>
      <c r="D354" s="718">
        <f t="shared" si="15"/>
        <v>30</v>
      </c>
      <c r="E354" s="684">
        <v>45133</v>
      </c>
      <c r="F354" s="85"/>
      <c r="G354" s="85"/>
      <c r="H354" s="85"/>
      <c r="I354" s="86"/>
      <c r="J354" s="85" t="s">
        <v>81</v>
      </c>
      <c r="K354" s="85" t="s">
        <v>162</v>
      </c>
      <c r="L354" s="85" t="s">
        <v>163</v>
      </c>
      <c r="M354" s="467">
        <v>17000</v>
      </c>
      <c r="N354" s="467"/>
      <c r="O354" s="468">
        <f>(330+177+275+220)/1000</f>
        <v>1.002</v>
      </c>
      <c r="P354" s="468"/>
      <c r="Q354" s="499">
        <f t="shared" si="16"/>
        <v>17034</v>
      </c>
      <c r="R354" s="500" t="str">
        <f t="shared" si="17"/>
        <v/>
      </c>
    </row>
    <row r="355" spans="2:18" hidden="1">
      <c r="B355" s="84">
        <v>345</v>
      </c>
      <c r="C355" s="498"/>
      <c r="D355" s="718">
        <f t="shared" si="15"/>
        <v>30</v>
      </c>
      <c r="E355" s="684">
        <v>45133</v>
      </c>
      <c r="F355" s="85"/>
      <c r="G355" s="85"/>
      <c r="H355" s="85"/>
      <c r="I355" s="86"/>
      <c r="J355" s="85" t="s">
        <v>74</v>
      </c>
      <c r="K355" s="85" t="s">
        <v>162</v>
      </c>
      <c r="L355" s="85" t="s">
        <v>163</v>
      </c>
      <c r="M355" s="467"/>
      <c r="N355" s="467">
        <v>25000</v>
      </c>
      <c r="O355" s="468"/>
      <c r="P355" s="468">
        <f>(150+400)/1000</f>
        <v>0.55000000000000004</v>
      </c>
      <c r="Q355" s="499" t="str">
        <f t="shared" si="16"/>
        <v/>
      </c>
      <c r="R355" s="500">
        <f t="shared" si="17"/>
        <v>13750.000000000002</v>
      </c>
    </row>
    <row r="356" spans="2:18" hidden="1">
      <c r="B356" s="84">
        <v>346</v>
      </c>
      <c r="C356" s="498" t="s">
        <v>505</v>
      </c>
      <c r="D356" s="718">
        <f t="shared" si="15"/>
        <v>30</v>
      </c>
      <c r="E356" s="684">
        <v>45134</v>
      </c>
      <c r="F356" s="85" t="s">
        <v>107</v>
      </c>
      <c r="G356" s="85" t="s">
        <v>97</v>
      </c>
      <c r="H356" s="85" t="s">
        <v>339</v>
      </c>
      <c r="I356" s="86"/>
      <c r="J356" s="85" t="s">
        <v>74</v>
      </c>
      <c r="K356" s="85" t="s">
        <v>85</v>
      </c>
      <c r="L356" s="85" t="s">
        <v>91</v>
      </c>
      <c r="M356" s="467"/>
      <c r="N356" s="467">
        <v>2</v>
      </c>
      <c r="O356" s="468"/>
      <c r="P356" s="468">
        <v>11230</v>
      </c>
      <c r="Q356" s="499" t="str">
        <f t="shared" si="16"/>
        <v/>
      </c>
      <c r="R356" s="500">
        <f t="shared" si="17"/>
        <v>22460</v>
      </c>
    </row>
    <row r="357" spans="2:18" hidden="1">
      <c r="B357" s="84">
        <v>347</v>
      </c>
      <c r="C357" s="498" t="s">
        <v>506</v>
      </c>
      <c r="D357" s="718">
        <f t="shared" si="15"/>
        <v>30</v>
      </c>
      <c r="E357" s="684">
        <v>45135</v>
      </c>
      <c r="F357" s="85" t="s">
        <v>106</v>
      </c>
      <c r="G357" s="85" t="s">
        <v>96</v>
      </c>
      <c r="H357" s="85" t="s">
        <v>334</v>
      </c>
      <c r="I357" s="86"/>
      <c r="J357" s="85" t="s">
        <v>74</v>
      </c>
      <c r="K357" s="85" t="s">
        <v>87</v>
      </c>
      <c r="L357" s="85" t="s">
        <v>91</v>
      </c>
      <c r="M357" s="467"/>
      <c r="N357" s="467">
        <v>1.2</v>
      </c>
      <c r="O357" s="468"/>
      <c r="P357" s="468">
        <v>10000</v>
      </c>
      <c r="Q357" s="499" t="str">
        <f t="shared" si="16"/>
        <v/>
      </c>
      <c r="R357" s="500">
        <f t="shared" si="17"/>
        <v>12000</v>
      </c>
    </row>
    <row r="358" spans="2:18" hidden="1">
      <c r="B358" s="84">
        <v>348</v>
      </c>
      <c r="C358" s="498"/>
      <c r="D358" s="718">
        <f t="shared" si="15"/>
        <v>30</v>
      </c>
      <c r="E358" s="684">
        <v>45135</v>
      </c>
      <c r="F358" s="85" t="s">
        <v>113</v>
      </c>
      <c r="G358" s="85" t="s">
        <v>281</v>
      </c>
      <c r="H358" s="85" t="s">
        <v>281</v>
      </c>
      <c r="I358" s="86"/>
      <c r="J358" s="85" t="s">
        <v>74</v>
      </c>
      <c r="K358" s="85" t="s">
        <v>162</v>
      </c>
      <c r="L358" s="85" t="s">
        <v>163</v>
      </c>
      <c r="M358" s="467"/>
      <c r="N358" s="467">
        <v>42000</v>
      </c>
      <c r="O358" s="468"/>
      <c r="P358" s="468">
        <f>(225+85)/1000</f>
        <v>0.31</v>
      </c>
      <c r="Q358" s="499" t="str">
        <f t="shared" si="16"/>
        <v/>
      </c>
      <c r="R358" s="500">
        <f t="shared" si="17"/>
        <v>13020</v>
      </c>
    </row>
    <row r="359" spans="2:18" hidden="1">
      <c r="B359" s="84">
        <v>349</v>
      </c>
      <c r="C359" s="498"/>
      <c r="D359" s="718">
        <f t="shared" si="15"/>
        <v>30</v>
      </c>
      <c r="E359" s="684">
        <v>45135</v>
      </c>
      <c r="F359" s="85"/>
      <c r="G359" s="85"/>
      <c r="H359" s="85"/>
      <c r="I359" s="86"/>
      <c r="J359" s="85" t="s">
        <v>81</v>
      </c>
      <c r="K359" s="85" t="s">
        <v>652</v>
      </c>
      <c r="L359" s="85" t="s">
        <v>185</v>
      </c>
      <c r="M359" s="467">
        <v>247.18544827008316</v>
      </c>
      <c r="N359" s="467"/>
      <c r="O359" s="468">
        <v>200</v>
      </c>
      <c r="P359" s="468"/>
      <c r="Q359" s="499">
        <f t="shared" si="16"/>
        <v>49437.089654016629</v>
      </c>
      <c r="R359" s="500" t="str">
        <f t="shared" si="17"/>
        <v/>
      </c>
    </row>
    <row r="360" spans="2:18" hidden="1">
      <c r="B360" s="84">
        <v>350</v>
      </c>
      <c r="C360" s="498"/>
      <c r="D360" s="718">
        <f t="shared" si="15"/>
        <v>30</v>
      </c>
      <c r="E360" s="684">
        <v>45135</v>
      </c>
      <c r="F360" s="85"/>
      <c r="G360" s="85"/>
      <c r="H360" s="85"/>
      <c r="I360" s="86"/>
      <c r="J360" s="85" t="s">
        <v>81</v>
      </c>
      <c r="K360" s="85" t="s">
        <v>161</v>
      </c>
      <c r="L360" s="85" t="s">
        <v>185</v>
      </c>
      <c r="M360" s="467">
        <v>199.92359142534642</v>
      </c>
      <c r="N360" s="467"/>
      <c r="O360" s="468">
        <v>400</v>
      </c>
      <c r="P360" s="468"/>
      <c r="Q360" s="499">
        <f t="shared" si="16"/>
        <v>79969.436570138569</v>
      </c>
      <c r="R360" s="500" t="str">
        <f t="shared" si="17"/>
        <v/>
      </c>
    </row>
    <row r="361" spans="2:18" hidden="1">
      <c r="B361" s="84">
        <v>351</v>
      </c>
      <c r="C361" s="507"/>
      <c r="D361" s="718">
        <f t="shared" si="15"/>
        <v>30</v>
      </c>
      <c r="E361" s="685">
        <v>45136</v>
      </c>
      <c r="F361" s="508"/>
      <c r="G361" s="508" t="s">
        <v>441</v>
      </c>
      <c r="H361" s="508" t="s">
        <v>91</v>
      </c>
      <c r="I361" s="509"/>
      <c r="J361" s="508" t="s">
        <v>81</v>
      </c>
      <c r="K361" s="508" t="s">
        <v>85</v>
      </c>
      <c r="L361" s="508" t="s">
        <v>91</v>
      </c>
      <c r="M361" s="510">
        <v>1.25</v>
      </c>
      <c r="N361" s="510"/>
      <c r="O361" s="511">
        <v>30000</v>
      </c>
      <c r="P361" s="511"/>
      <c r="Q361" s="512">
        <f t="shared" si="16"/>
        <v>37500</v>
      </c>
      <c r="R361" s="500" t="str">
        <f t="shared" si="17"/>
        <v/>
      </c>
    </row>
    <row r="362" spans="2:18" hidden="1">
      <c r="B362" s="84">
        <v>352</v>
      </c>
      <c r="C362" s="507"/>
      <c r="D362" s="718">
        <f t="shared" si="15"/>
        <v>30</v>
      </c>
      <c r="E362" s="685">
        <v>45136</v>
      </c>
      <c r="F362" s="508"/>
      <c r="G362" s="508" t="s">
        <v>441</v>
      </c>
      <c r="H362" s="508" t="s">
        <v>91</v>
      </c>
      <c r="I362" s="509"/>
      <c r="J362" s="508" t="s">
        <v>81</v>
      </c>
      <c r="K362" s="508" t="s">
        <v>87</v>
      </c>
      <c r="L362" s="508" t="s">
        <v>91</v>
      </c>
      <c r="M362" s="510">
        <v>0.75</v>
      </c>
      <c r="N362" s="510"/>
      <c r="O362" s="511">
        <v>8000</v>
      </c>
      <c r="P362" s="511"/>
      <c r="Q362" s="512">
        <f t="shared" si="16"/>
        <v>6000</v>
      </c>
      <c r="R362" s="500" t="str">
        <f t="shared" si="17"/>
        <v/>
      </c>
    </row>
    <row r="363" spans="2:18" hidden="1">
      <c r="B363" s="84">
        <v>353</v>
      </c>
      <c r="C363" s="507"/>
      <c r="D363" s="718">
        <f t="shared" si="15"/>
        <v>30</v>
      </c>
      <c r="E363" s="685">
        <v>45136</v>
      </c>
      <c r="F363" s="508"/>
      <c r="G363" s="508"/>
      <c r="H363" s="508"/>
      <c r="I363" s="509"/>
      <c r="J363" s="508" t="s">
        <v>81</v>
      </c>
      <c r="K363" s="508" t="s">
        <v>164</v>
      </c>
      <c r="L363" s="508" t="s">
        <v>165</v>
      </c>
      <c r="M363" s="510">
        <v>287.6268905420971</v>
      </c>
      <c r="N363" s="510"/>
      <c r="O363" s="511">
        <f>28.11+14.01+48.63+53.57+72.4+81.91+13.7+45.9+28.43+55.34</f>
        <v>442</v>
      </c>
      <c r="P363" s="511"/>
      <c r="Q363" s="499">
        <f t="shared" si="16"/>
        <v>127131.08561960692</v>
      </c>
      <c r="R363" s="500" t="str">
        <f t="shared" si="17"/>
        <v/>
      </c>
    </row>
    <row r="364" spans="2:18" hidden="1">
      <c r="B364" s="84">
        <v>354</v>
      </c>
      <c r="C364" s="507"/>
      <c r="D364" s="718">
        <f t="shared" si="15"/>
        <v>31</v>
      </c>
      <c r="E364" s="685">
        <v>45139</v>
      </c>
      <c r="F364" s="508"/>
      <c r="G364" s="508"/>
      <c r="H364" s="508"/>
      <c r="I364" s="509"/>
      <c r="J364" s="508" t="s">
        <v>81</v>
      </c>
      <c r="K364" s="508" t="s">
        <v>161</v>
      </c>
      <c r="L364" s="508" t="s">
        <v>185</v>
      </c>
      <c r="M364" s="510">
        <v>199.92359142534642</v>
      </c>
      <c r="N364" s="510"/>
      <c r="O364" s="511">
        <v>200</v>
      </c>
      <c r="P364" s="511"/>
      <c r="Q364" s="512">
        <f t="shared" si="16"/>
        <v>39984.718285069284</v>
      </c>
      <c r="R364" s="500" t="str">
        <f t="shared" si="17"/>
        <v/>
      </c>
    </row>
    <row r="365" spans="2:18" hidden="1">
      <c r="B365" s="84">
        <v>355</v>
      </c>
      <c r="C365" s="507" t="s">
        <v>509</v>
      </c>
      <c r="D365" s="718">
        <f t="shared" si="15"/>
        <v>31</v>
      </c>
      <c r="E365" s="685">
        <v>45142</v>
      </c>
      <c r="F365" s="508"/>
      <c r="G365" s="508"/>
      <c r="H365" s="508"/>
      <c r="I365" s="509"/>
      <c r="J365" s="508" t="s">
        <v>74</v>
      </c>
      <c r="K365" s="508" t="s">
        <v>85</v>
      </c>
      <c r="L365" s="508" t="s">
        <v>91</v>
      </c>
      <c r="M365" s="510"/>
      <c r="N365" s="510">
        <v>2</v>
      </c>
      <c r="O365" s="511"/>
      <c r="P365" s="511">
        <v>11190</v>
      </c>
      <c r="Q365" s="512" t="str">
        <f t="shared" si="16"/>
        <v/>
      </c>
      <c r="R365" s="500">
        <f t="shared" si="17"/>
        <v>22380</v>
      </c>
    </row>
    <row r="366" spans="2:18" hidden="1">
      <c r="B366" s="84">
        <v>356</v>
      </c>
      <c r="C366" s="507">
        <v>653</v>
      </c>
      <c r="D366" s="718">
        <f t="shared" si="15"/>
        <v>31</v>
      </c>
      <c r="E366" s="685">
        <v>45142</v>
      </c>
      <c r="F366" s="508" t="s">
        <v>113</v>
      </c>
      <c r="G366" s="508" t="s">
        <v>442</v>
      </c>
      <c r="H366" s="508" t="s">
        <v>442</v>
      </c>
      <c r="I366" s="509"/>
      <c r="J366" s="508" t="s">
        <v>74</v>
      </c>
      <c r="K366" s="508" t="s">
        <v>56</v>
      </c>
      <c r="L366" s="508" t="s">
        <v>91</v>
      </c>
      <c r="M366" s="510"/>
      <c r="N366" s="510">
        <v>80</v>
      </c>
      <c r="O366" s="511"/>
      <c r="P366" s="511">
        <v>1000</v>
      </c>
      <c r="Q366" s="512" t="str">
        <f t="shared" si="16"/>
        <v/>
      </c>
      <c r="R366" s="500">
        <f t="shared" si="17"/>
        <v>80000</v>
      </c>
    </row>
    <row r="367" spans="2:18">
      <c r="B367" s="84">
        <v>357</v>
      </c>
      <c r="C367" s="507" t="s">
        <v>593</v>
      </c>
      <c r="D367" s="718">
        <f t="shared" si="15"/>
        <v>31</v>
      </c>
      <c r="E367" s="685">
        <v>45142</v>
      </c>
      <c r="F367" s="508" t="s">
        <v>107</v>
      </c>
      <c r="G367" s="508" t="s">
        <v>97</v>
      </c>
      <c r="H367" s="508" t="s">
        <v>344</v>
      </c>
      <c r="I367" s="509"/>
      <c r="J367" s="508" t="s">
        <v>74</v>
      </c>
      <c r="K367" s="508" t="s">
        <v>86</v>
      </c>
      <c r="L367" s="508" t="s">
        <v>91</v>
      </c>
      <c r="M367" s="510"/>
      <c r="N367" s="510">
        <v>3.5</v>
      </c>
      <c r="O367" s="511"/>
      <c r="P367" s="511">
        <v>12860</v>
      </c>
      <c r="Q367" s="512" t="str">
        <f t="shared" si="16"/>
        <v/>
      </c>
      <c r="R367" s="500">
        <f t="shared" si="17"/>
        <v>45010</v>
      </c>
    </row>
    <row r="368" spans="2:18" hidden="1">
      <c r="B368" s="84">
        <v>358</v>
      </c>
      <c r="C368" s="507"/>
      <c r="D368" s="718">
        <f t="shared" si="15"/>
        <v>31</v>
      </c>
      <c r="E368" s="685">
        <v>45142</v>
      </c>
      <c r="F368" s="508"/>
      <c r="G368" s="508"/>
      <c r="H368" s="508"/>
      <c r="I368" s="509"/>
      <c r="J368" s="508" t="s">
        <v>81</v>
      </c>
      <c r="K368" s="508" t="s">
        <v>461</v>
      </c>
      <c r="L368" s="508" t="s">
        <v>185</v>
      </c>
      <c r="M368" s="510"/>
      <c r="N368" s="510"/>
      <c r="O368" s="511"/>
      <c r="P368" s="511">
        <v>-120</v>
      </c>
      <c r="Q368" s="512" t="str">
        <f t="shared" si="16"/>
        <v/>
      </c>
      <c r="R368" s="500" t="str">
        <f t="shared" si="17"/>
        <v/>
      </c>
    </row>
    <row r="369" spans="2:18" hidden="1">
      <c r="B369" s="84">
        <v>359</v>
      </c>
      <c r="C369" s="507">
        <v>654</v>
      </c>
      <c r="D369" s="718">
        <f t="shared" si="15"/>
        <v>31</v>
      </c>
      <c r="E369" s="685">
        <v>45142</v>
      </c>
      <c r="F369" s="508" t="s">
        <v>113</v>
      </c>
      <c r="G369" s="508" t="s">
        <v>442</v>
      </c>
      <c r="H369" s="508" t="s">
        <v>442</v>
      </c>
      <c r="I369" s="326"/>
      <c r="J369" s="508" t="s">
        <v>74</v>
      </c>
      <c r="K369" s="508" t="s">
        <v>461</v>
      </c>
      <c r="L369" s="508" t="s">
        <v>185</v>
      </c>
      <c r="M369" s="510"/>
      <c r="N369" s="510">
        <v>145</v>
      </c>
      <c r="O369" s="511"/>
      <c r="P369" s="511">
        <v>120</v>
      </c>
      <c r="Q369" s="512" t="str">
        <f t="shared" si="16"/>
        <v/>
      </c>
      <c r="R369" s="500">
        <f t="shared" si="17"/>
        <v>17400</v>
      </c>
    </row>
    <row r="370" spans="2:18" hidden="1">
      <c r="B370" s="84">
        <v>360</v>
      </c>
      <c r="C370" s="507"/>
      <c r="D370" s="718">
        <f t="shared" si="15"/>
        <v>31</v>
      </c>
      <c r="E370" s="685">
        <v>45142</v>
      </c>
      <c r="F370" s="508"/>
      <c r="G370" s="508"/>
      <c r="H370" s="508"/>
      <c r="I370" s="509"/>
      <c r="J370" s="508" t="s">
        <v>81</v>
      </c>
      <c r="K370" s="508" t="s">
        <v>161</v>
      </c>
      <c r="L370" s="508" t="s">
        <v>185</v>
      </c>
      <c r="M370" s="510"/>
      <c r="N370" s="510"/>
      <c r="O370" s="511"/>
      <c r="P370" s="511">
        <v>-120</v>
      </c>
      <c r="Q370" s="512" t="str">
        <f t="shared" si="16"/>
        <v/>
      </c>
      <c r="R370" s="500" t="str">
        <f t="shared" si="17"/>
        <v/>
      </c>
    </row>
    <row r="371" spans="2:18" hidden="1">
      <c r="B371" s="84">
        <v>361</v>
      </c>
      <c r="C371" s="507">
        <v>654</v>
      </c>
      <c r="D371" s="718">
        <f t="shared" si="15"/>
        <v>31</v>
      </c>
      <c r="E371" s="685">
        <v>45142</v>
      </c>
      <c r="F371" s="508" t="s">
        <v>113</v>
      </c>
      <c r="G371" s="508" t="s">
        <v>442</v>
      </c>
      <c r="H371" s="508" t="s">
        <v>442</v>
      </c>
      <c r="I371" s="509"/>
      <c r="J371" s="508" t="s">
        <v>74</v>
      </c>
      <c r="K371" s="508" t="s">
        <v>161</v>
      </c>
      <c r="L371" s="508" t="s">
        <v>185</v>
      </c>
      <c r="M371" s="510"/>
      <c r="N371" s="510">
        <v>350</v>
      </c>
      <c r="O371" s="511"/>
      <c r="P371" s="511">
        <v>120</v>
      </c>
      <c r="Q371" s="512" t="str">
        <f t="shared" si="16"/>
        <v/>
      </c>
      <c r="R371" s="500">
        <f t="shared" si="17"/>
        <v>42000</v>
      </c>
    </row>
    <row r="372" spans="2:18" hidden="1">
      <c r="B372" s="84">
        <v>362</v>
      </c>
      <c r="C372" s="507"/>
      <c r="D372" s="718">
        <f t="shared" si="15"/>
        <v>31</v>
      </c>
      <c r="E372" s="685">
        <v>45142</v>
      </c>
      <c r="F372" s="508"/>
      <c r="G372" s="508"/>
      <c r="H372" s="508"/>
      <c r="I372" s="509"/>
      <c r="J372" s="508" t="s">
        <v>81</v>
      </c>
      <c r="K372" s="508" t="s">
        <v>652</v>
      </c>
      <c r="L372" s="508" t="s">
        <v>185</v>
      </c>
      <c r="M372" s="510"/>
      <c r="N372" s="510"/>
      <c r="O372" s="511"/>
      <c r="P372" s="511">
        <v>-120</v>
      </c>
      <c r="Q372" s="512" t="str">
        <f t="shared" si="16"/>
        <v/>
      </c>
      <c r="R372" s="500" t="str">
        <f t="shared" si="17"/>
        <v/>
      </c>
    </row>
    <row r="373" spans="2:18" hidden="1">
      <c r="B373" s="84">
        <v>363</v>
      </c>
      <c r="C373" s="507">
        <v>654</v>
      </c>
      <c r="D373" s="718">
        <f t="shared" si="15"/>
        <v>31</v>
      </c>
      <c r="E373" s="685">
        <v>45142</v>
      </c>
      <c r="F373" s="508" t="s">
        <v>113</v>
      </c>
      <c r="G373" s="508" t="s">
        <v>442</v>
      </c>
      <c r="H373" s="508" t="s">
        <v>442</v>
      </c>
      <c r="I373" s="509"/>
      <c r="J373" s="508" t="s">
        <v>74</v>
      </c>
      <c r="K373" s="508" t="s">
        <v>652</v>
      </c>
      <c r="L373" s="508" t="s">
        <v>185</v>
      </c>
      <c r="M373" s="510"/>
      <c r="N373" s="510">
        <v>350</v>
      </c>
      <c r="O373" s="511"/>
      <c r="P373" s="516">
        <v>120</v>
      </c>
      <c r="Q373" s="512" t="str">
        <f t="shared" si="16"/>
        <v/>
      </c>
      <c r="R373" s="500">
        <f t="shared" si="17"/>
        <v>42000</v>
      </c>
    </row>
    <row r="374" spans="2:18" hidden="1">
      <c r="B374" s="84">
        <v>364</v>
      </c>
      <c r="C374" s="507"/>
      <c r="D374" s="718">
        <f t="shared" si="15"/>
        <v>31</v>
      </c>
      <c r="E374" s="685">
        <v>45143</v>
      </c>
      <c r="F374" s="508"/>
      <c r="G374" s="508"/>
      <c r="H374" s="508"/>
      <c r="I374" s="509"/>
      <c r="J374" s="508" t="s">
        <v>81</v>
      </c>
      <c r="K374" s="508" t="s">
        <v>164</v>
      </c>
      <c r="L374" s="508" t="s">
        <v>165</v>
      </c>
      <c r="M374" s="510">
        <v>287.6268905420971</v>
      </c>
      <c r="N374" s="510"/>
      <c r="O374" s="511">
        <f>(42.23+88.36+54.03+34.67+76.63+31.26+272.31)</f>
        <v>599.49</v>
      </c>
      <c r="P374" s="511"/>
      <c r="Q374" s="499">
        <f t="shared" si="16"/>
        <v>172429.4446110818</v>
      </c>
      <c r="R374" s="500" t="str">
        <f t="shared" si="17"/>
        <v/>
      </c>
    </row>
    <row r="375" spans="2:18" hidden="1">
      <c r="B375" s="84">
        <v>365</v>
      </c>
      <c r="C375" s="507"/>
      <c r="D375" s="718">
        <f t="shared" si="15"/>
        <v>31</v>
      </c>
      <c r="E375" s="685">
        <v>45143</v>
      </c>
      <c r="F375" s="508"/>
      <c r="G375" s="508"/>
      <c r="H375" s="508"/>
      <c r="I375" s="509"/>
      <c r="J375" s="508" t="s">
        <v>81</v>
      </c>
      <c r="K375" s="508" t="s">
        <v>87</v>
      </c>
      <c r="L375" s="508" t="s">
        <v>91</v>
      </c>
      <c r="M375" s="510">
        <v>0.75</v>
      </c>
      <c r="N375" s="510"/>
      <c r="O375" s="511">
        <v>10000</v>
      </c>
      <c r="P375" s="511"/>
      <c r="Q375" s="512">
        <f t="shared" si="16"/>
        <v>7500</v>
      </c>
      <c r="R375" s="500" t="str">
        <f t="shared" si="17"/>
        <v/>
      </c>
    </row>
    <row r="376" spans="2:18" hidden="1">
      <c r="B376" s="84">
        <v>366</v>
      </c>
      <c r="C376" s="507"/>
      <c r="D376" s="718">
        <f t="shared" si="15"/>
        <v>31</v>
      </c>
      <c r="E376" s="685">
        <v>45143</v>
      </c>
      <c r="F376" s="508"/>
      <c r="G376" s="508"/>
      <c r="H376" s="508"/>
      <c r="I376" s="509"/>
      <c r="J376" s="508" t="s">
        <v>81</v>
      </c>
      <c r="K376" s="508" t="s">
        <v>162</v>
      </c>
      <c r="L376" s="508" t="s">
        <v>163</v>
      </c>
      <c r="M376" s="510">
        <v>17000</v>
      </c>
      <c r="N376" s="517"/>
      <c r="O376" s="511">
        <f>(335+245+265+138)/1000</f>
        <v>0.98299999999999998</v>
      </c>
      <c r="P376" s="511"/>
      <c r="Q376" s="512">
        <f t="shared" si="16"/>
        <v>16711</v>
      </c>
      <c r="R376" s="500" t="str">
        <f t="shared" si="17"/>
        <v/>
      </c>
    </row>
    <row r="377" spans="2:18" hidden="1">
      <c r="B377" s="84">
        <v>367</v>
      </c>
      <c r="C377" s="507"/>
      <c r="D377" s="718">
        <f t="shared" si="15"/>
        <v>31</v>
      </c>
      <c r="E377" s="685">
        <v>45143</v>
      </c>
      <c r="F377" s="508" t="s">
        <v>277</v>
      </c>
      <c r="G377" s="508" t="s">
        <v>361</v>
      </c>
      <c r="H377" s="508" t="s">
        <v>283</v>
      </c>
      <c r="I377" s="509"/>
      <c r="J377" s="508" t="s">
        <v>74</v>
      </c>
      <c r="K377" s="508" t="s">
        <v>162</v>
      </c>
      <c r="L377" s="508" t="s">
        <v>163</v>
      </c>
      <c r="M377" s="510"/>
      <c r="N377" s="510"/>
      <c r="O377" s="511"/>
      <c r="P377" s="511">
        <f>(70/1000)</f>
        <v>7.0000000000000007E-2</v>
      </c>
      <c r="Q377" s="512" t="str">
        <f t="shared" si="16"/>
        <v/>
      </c>
      <c r="R377" s="500" t="str">
        <f t="shared" si="17"/>
        <v/>
      </c>
    </row>
    <row r="378" spans="2:18" hidden="1">
      <c r="B378" s="84">
        <v>368</v>
      </c>
      <c r="C378" s="507"/>
      <c r="D378" s="718">
        <f t="shared" si="15"/>
        <v>31</v>
      </c>
      <c r="E378" s="685">
        <v>45143</v>
      </c>
      <c r="F378" s="508"/>
      <c r="G378" s="508"/>
      <c r="H378" s="508"/>
      <c r="I378" s="509"/>
      <c r="J378" s="508" t="s">
        <v>74</v>
      </c>
      <c r="K378" s="508" t="s">
        <v>162</v>
      </c>
      <c r="L378" s="508" t="s">
        <v>163</v>
      </c>
      <c r="M378" s="510"/>
      <c r="N378" s="510">
        <v>25000</v>
      </c>
      <c r="O378" s="511"/>
      <c r="P378" s="511">
        <f>(175+300)/1000</f>
        <v>0.47499999999999998</v>
      </c>
      <c r="Q378" s="512" t="str">
        <f t="shared" si="16"/>
        <v/>
      </c>
      <c r="R378" s="500">
        <f t="shared" si="17"/>
        <v>11875</v>
      </c>
    </row>
    <row r="379" spans="2:18" hidden="1">
      <c r="B379" s="84">
        <v>369</v>
      </c>
      <c r="C379" s="507"/>
      <c r="D379" s="718">
        <f t="shared" si="15"/>
        <v>31</v>
      </c>
      <c r="E379" s="685">
        <v>45143</v>
      </c>
      <c r="F379" s="508" t="s">
        <v>113</v>
      </c>
      <c r="G379" s="508" t="s">
        <v>280</v>
      </c>
      <c r="H379" s="508" t="s">
        <v>280</v>
      </c>
      <c r="I379" s="509"/>
      <c r="J379" s="508" t="s">
        <v>74</v>
      </c>
      <c r="K379" s="508" t="s">
        <v>162</v>
      </c>
      <c r="L379" s="508" t="s">
        <v>163</v>
      </c>
      <c r="M379" s="510"/>
      <c r="N379" s="510">
        <v>42000</v>
      </c>
      <c r="O379" s="511"/>
      <c r="P379" s="511">
        <f>(250+70)/1000</f>
        <v>0.32</v>
      </c>
      <c r="Q379" s="512" t="str">
        <f t="shared" si="16"/>
        <v/>
      </c>
      <c r="R379" s="500">
        <f t="shared" si="17"/>
        <v>13440</v>
      </c>
    </row>
    <row r="380" spans="2:18" hidden="1">
      <c r="B380" s="84">
        <v>370</v>
      </c>
      <c r="C380" s="507"/>
      <c r="D380" s="718">
        <f t="shared" si="15"/>
        <v>31</v>
      </c>
      <c r="E380" s="685">
        <v>45143</v>
      </c>
      <c r="F380" s="508" t="s">
        <v>113</v>
      </c>
      <c r="G380" s="508" t="s">
        <v>442</v>
      </c>
      <c r="H380" s="508" t="s">
        <v>442</v>
      </c>
      <c r="I380" s="509"/>
      <c r="J380" s="508" t="s">
        <v>74</v>
      </c>
      <c r="K380" s="508" t="s">
        <v>162</v>
      </c>
      <c r="L380" s="508" t="s">
        <v>163</v>
      </c>
      <c r="M380" s="510"/>
      <c r="N380" s="510">
        <v>42000</v>
      </c>
      <c r="O380" s="511"/>
      <c r="P380" s="511">
        <f>(1000/1000)</f>
        <v>1</v>
      </c>
      <c r="Q380" s="512" t="str">
        <f t="shared" si="16"/>
        <v/>
      </c>
      <c r="R380" s="500">
        <f t="shared" si="17"/>
        <v>42000</v>
      </c>
    </row>
    <row r="381" spans="2:18" hidden="1">
      <c r="B381" s="84">
        <v>371</v>
      </c>
      <c r="C381" s="507" t="s">
        <v>510</v>
      </c>
      <c r="D381" s="718">
        <f t="shared" si="15"/>
        <v>32</v>
      </c>
      <c r="E381" s="685">
        <v>45145</v>
      </c>
      <c r="F381" s="508"/>
      <c r="G381" s="508"/>
      <c r="H381" s="508"/>
      <c r="I381" s="509"/>
      <c r="J381" s="508" t="s">
        <v>74</v>
      </c>
      <c r="K381" s="508" t="s">
        <v>85</v>
      </c>
      <c r="L381" s="508" t="s">
        <v>91</v>
      </c>
      <c r="M381" s="510"/>
      <c r="N381" s="510">
        <v>2</v>
      </c>
      <c r="O381" s="511"/>
      <c r="P381" s="511">
        <v>11550</v>
      </c>
      <c r="Q381" s="512" t="str">
        <f t="shared" si="16"/>
        <v/>
      </c>
      <c r="R381" s="500">
        <f t="shared" si="17"/>
        <v>23100</v>
      </c>
    </row>
    <row r="382" spans="2:18" hidden="1">
      <c r="B382" s="84">
        <v>372</v>
      </c>
      <c r="C382" s="507"/>
      <c r="D382" s="718">
        <f t="shared" si="15"/>
        <v>32</v>
      </c>
      <c r="E382" s="685">
        <v>45145</v>
      </c>
      <c r="F382" s="508"/>
      <c r="G382" s="508"/>
      <c r="H382" s="508"/>
      <c r="I382" s="509"/>
      <c r="J382" s="508" t="s">
        <v>74</v>
      </c>
      <c r="K382" s="508" t="s">
        <v>164</v>
      </c>
      <c r="L382" s="508" t="s">
        <v>165</v>
      </c>
      <c r="M382" s="510"/>
      <c r="N382" s="510">
        <v>82.5</v>
      </c>
      <c r="O382" s="511"/>
      <c r="P382" s="511">
        <v>30</v>
      </c>
      <c r="Q382" s="512" t="str">
        <f t="shared" si="16"/>
        <v/>
      </c>
      <c r="R382" s="500">
        <f t="shared" si="17"/>
        <v>2475</v>
      </c>
    </row>
    <row r="383" spans="2:18" hidden="1">
      <c r="B383" s="84">
        <v>373</v>
      </c>
      <c r="C383" s="507"/>
      <c r="D383" s="718">
        <f t="shared" si="15"/>
        <v>32</v>
      </c>
      <c r="E383" s="685">
        <v>45145</v>
      </c>
      <c r="F383" s="508"/>
      <c r="G383" s="508"/>
      <c r="H383" s="508"/>
      <c r="I383" s="509"/>
      <c r="J383" s="508" t="s">
        <v>74</v>
      </c>
      <c r="K383" s="508" t="s">
        <v>162</v>
      </c>
      <c r="L383" s="508" t="s">
        <v>163</v>
      </c>
      <c r="M383" s="510"/>
      <c r="N383" s="510">
        <v>25000</v>
      </c>
      <c r="O383" s="511"/>
      <c r="P383" s="511">
        <f>(250+50+50)/1000</f>
        <v>0.35</v>
      </c>
      <c r="Q383" s="512" t="str">
        <f t="shared" si="16"/>
        <v/>
      </c>
      <c r="R383" s="500">
        <f t="shared" si="17"/>
        <v>8750</v>
      </c>
    </row>
    <row r="384" spans="2:18" hidden="1">
      <c r="B384" s="84">
        <v>374</v>
      </c>
      <c r="C384" s="507">
        <v>655</v>
      </c>
      <c r="D384" s="718">
        <f t="shared" si="15"/>
        <v>32</v>
      </c>
      <c r="E384" s="685">
        <v>45146</v>
      </c>
      <c r="F384" s="508" t="s">
        <v>112</v>
      </c>
      <c r="G384" s="508" t="s">
        <v>114</v>
      </c>
      <c r="H384" s="508" t="s">
        <v>114</v>
      </c>
      <c r="I384" s="85" t="s">
        <v>618</v>
      </c>
      <c r="J384" s="508" t="s">
        <v>74</v>
      </c>
      <c r="K384" s="508" t="s">
        <v>161</v>
      </c>
      <c r="L384" s="508" t="s">
        <v>185</v>
      </c>
      <c r="M384" s="510"/>
      <c r="N384" s="510">
        <v>240</v>
      </c>
      <c r="O384" s="511"/>
      <c r="P384" s="511">
        <v>200</v>
      </c>
      <c r="Q384" s="512" t="str">
        <f t="shared" si="16"/>
        <v/>
      </c>
      <c r="R384" s="500">
        <f t="shared" si="17"/>
        <v>48000</v>
      </c>
    </row>
    <row r="385" spans="2:18" hidden="1">
      <c r="B385" s="84">
        <v>375</v>
      </c>
      <c r="C385" s="507">
        <v>656</v>
      </c>
      <c r="D385" s="718">
        <f t="shared" si="15"/>
        <v>32</v>
      </c>
      <c r="E385" s="685">
        <v>45146</v>
      </c>
      <c r="F385" s="508" t="s">
        <v>112</v>
      </c>
      <c r="G385" s="508" t="s">
        <v>114</v>
      </c>
      <c r="H385" s="508" t="s">
        <v>114</v>
      </c>
      <c r="I385" s="85" t="s">
        <v>624</v>
      </c>
      <c r="J385" s="508" t="s">
        <v>74</v>
      </c>
      <c r="K385" s="508" t="s">
        <v>652</v>
      </c>
      <c r="L385" s="508" t="s">
        <v>185</v>
      </c>
      <c r="M385" s="510"/>
      <c r="N385" s="510">
        <v>299</v>
      </c>
      <c r="O385" s="511"/>
      <c r="P385" s="516">
        <v>600</v>
      </c>
      <c r="Q385" s="512" t="str">
        <f t="shared" si="16"/>
        <v/>
      </c>
      <c r="R385" s="500">
        <f t="shared" si="17"/>
        <v>179400</v>
      </c>
    </row>
    <row r="386" spans="2:18" hidden="1">
      <c r="B386" s="84">
        <v>376</v>
      </c>
      <c r="C386" s="507"/>
      <c r="D386" s="718">
        <f t="shared" si="15"/>
        <v>32</v>
      </c>
      <c r="E386" s="685">
        <v>45148</v>
      </c>
      <c r="F386" s="508"/>
      <c r="G386" s="508"/>
      <c r="H386" s="508"/>
      <c r="I386" s="509"/>
      <c r="J386" s="508" t="s">
        <v>81</v>
      </c>
      <c r="K386" s="508" t="s">
        <v>87</v>
      </c>
      <c r="L386" s="508" t="s">
        <v>91</v>
      </c>
      <c r="M386" s="510">
        <v>0.75</v>
      </c>
      <c r="N386" s="510"/>
      <c r="O386" s="511">
        <f>10000+15000</f>
        <v>25000</v>
      </c>
      <c r="P386" s="511"/>
      <c r="Q386" s="512">
        <f t="shared" si="16"/>
        <v>18750</v>
      </c>
      <c r="R386" s="500" t="str">
        <f t="shared" si="17"/>
        <v/>
      </c>
    </row>
    <row r="387" spans="2:18" hidden="1">
      <c r="B387" s="84">
        <v>377</v>
      </c>
      <c r="C387" s="507" t="s">
        <v>556</v>
      </c>
      <c r="D387" s="718">
        <f t="shared" si="15"/>
        <v>32</v>
      </c>
      <c r="E387" s="685">
        <v>45149</v>
      </c>
      <c r="F387" s="508" t="s">
        <v>107</v>
      </c>
      <c r="G387" s="508" t="s">
        <v>97</v>
      </c>
      <c r="H387" s="508" t="s">
        <v>338</v>
      </c>
      <c r="I387" s="509"/>
      <c r="J387" s="508" t="s">
        <v>74</v>
      </c>
      <c r="K387" s="508" t="s">
        <v>87</v>
      </c>
      <c r="L387" s="508" t="s">
        <v>91</v>
      </c>
      <c r="M387" s="510"/>
      <c r="N387" s="510">
        <v>1.2</v>
      </c>
      <c r="O387" s="511"/>
      <c r="P387" s="511">
        <f>20000+15000</f>
        <v>35000</v>
      </c>
      <c r="Q387" s="512" t="str">
        <f t="shared" si="16"/>
        <v/>
      </c>
      <c r="R387" s="500">
        <f t="shared" si="17"/>
        <v>42000</v>
      </c>
    </row>
    <row r="388" spans="2:18" hidden="1">
      <c r="B388" s="84">
        <v>378</v>
      </c>
      <c r="C388" s="507"/>
      <c r="D388" s="718">
        <f t="shared" si="15"/>
        <v>32</v>
      </c>
      <c r="E388" s="685">
        <v>45149</v>
      </c>
      <c r="F388" s="508" t="s">
        <v>113</v>
      </c>
      <c r="G388" s="508" t="s">
        <v>281</v>
      </c>
      <c r="H388" s="508" t="s">
        <v>281</v>
      </c>
      <c r="I388" s="509"/>
      <c r="J388" s="508" t="s">
        <v>74</v>
      </c>
      <c r="K388" s="508" t="s">
        <v>162</v>
      </c>
      <c r="L388" s="508" t="s">
        <v>163</v>
      </c>
      <c r="M388" s="510"/>
      <c r="N388" s="510">
        <v>42000</v>
      </c>
      <c r="O388" s="511"/>
      <c r="P388" s="511">
        <f>(225+85)/1000</f>
        <v>0.31</v>
      </c>
      <c r="Q388" s="512" t="str">
        <f t="shared" si="16"/>
        <v/>
      </c>
      <c r="R388" s="500">
        <f t="shared" si="17"/>
        <v>13020</v>
      </c>
    </row>
    <row r="389" spans="2:18" hidden="1">
      <c r="B389" s="84">
        <v>379</v>
      </c>
      <c r="C389" s="507"/>
      <c r="D389" s="718">
        <f t="shared" si="15"/>
        <v>32</v>
      </c>
      <c r="E389" s="685">
        <v>45149</v>
      </c>
      <c r="F389" s="508"/>
      <c r="G389" s="508"/>
      <c r="H389" s="508"/>
      <c r="I389" s="509"/>
      <c r="J389" s="508" t="s">
        <v>81</v>
      </c>
      <c r="K389" s="508" t="s">
        <v>652</v>
      </c>
      <c r="L389" s="508" t="s">
        <v>185</v>
      </c>
      <c r="M389" s="510">
        <v>247.18544827008316</v>
      </c>
      <c r="N389" s="510"/>
      <c r="O389" s="511">
        <v>200</v>
      </c>
      <c r="P389" s="511"/>
      <c r="Q389" s="512">
        <f t="shared" si="16"/>
        <v>49437.089654016629</v>
      </c>
      <c r="R389" s="500" t="str">
        <f t="shared" si="17"/>
        <v/>
      </c>
    </row>
    <row r="390" spans="2:18" hidden="1">
      <c r="B390" s="84">
        <v>380</v>
      </c>
      <c r="C390" s="507"/>
      <c r="D390" s="718">
        <f t="shared" si="15"/>
        <v>32</v>
      </c>
      <c r="E390" s="685">
        <v>45150</v>
      </c>
      <c r="F390" s="508"/>
      <c r="G390" s="508"/>
      <c r="H390" s="508"/>
      <c r="I390" s="509"/>
      <c r="J390" s="508" t="s">
        <v>81</v>
      </c>
      <c r="K390" s="508" t="s">
        <v>85</v>
      </c>
      <c r="L390" s="508" t="s">
        <v>91</v>
      </c>
      <c r="M390" s="510">
        <v>1.25</v>
      </c>
      <c r="N390" s="510"/>
      <c r="O390" s="511">
        <v>20000</v>
      </c>
      <c r="P390" s="511"/>
      <c r="Q390" s="512">
        <f t="shared" si="16"/>
        <v>25000</v>
      </c>
      <c r="R390" s="500" t="str">
        <f t="shared" si="17"/>
        <v/>
      </c>
    </row>
    <row r="391" spans="2:18" hidden="1">
      <c r="B391" s="84">
        <v>381</v>
      </c>
      <c r="C391" s="507"/>
      <c r="D391" s="718">
        <f t="shared" si="15"/>
        <v>32</v>
      </c>
      <c r="E391" s="685">
        <v>45150</v>
      </c>
      <c r="F391" s="508"/>
      <c r="G391" s="508"/>
      <c r="H391" s="508"/>
      <c r="I391" s="509"/>
      <c r="J391" s="508" t="s">
        <v>81</v>
      </c>
      <c r="K391" s="508" t="s">
        <v>162</v>
      </c>
      <c r="L391" s="508" t="s">
        <v>163</v>
      </c>
      <c r="M391" s="510">
        <v>17000</v>
      </c>
      <c r="N391" s="510"/>
      <c r="O391" s="511">
        <f>(255+257+305+280)/1000</f>
        <v>1.097</v>
      </c>
      <c r="P391" s="511"/>
      <c r="Q391" s="512">
        <f t="shared" si="16"/>
        <v>18649</v>
      </c>
      <c r="R391" s="500" t="str">
        <f t="shared" si="17"/>
        <v/>
      </c>
    </row>
    <row r="392" spans="2:18" hidden="1">
      <c r="B392" s="84">
        <v>382</v>
      </c>
      <c r="C392" s="518"/>
      <c r="D392" s="718">
        <f t="shared" si="15"/>
        <v>33</v>
      </c>
      <c r="E392" s="686">
        <v>45152</v>
      </c>
      <c r="F392" s="519"/>
      <c r="G392" s="519"/>
      <c r="H392" s="519"/>
      <c r="I392" s="520"/>
      <c r="J392" s="519" t="s">
        <v>81</v>
      </c>
      <c r="K392" s="519" t="s">
        <v>553</v>
      </c>
      <c r="L392" s="519" t="s">
        <v>185</v>
      </c>
      <c r="M392" s="521">
        <v>222</v>
      </c>
      <c r="N392" s="521"/>
      <c r="O392" s="522">
        <v>20</v>
      </c>
      <c r="P392" s="522"/>
      <c r="Q392" s="523">
        <f t="shared" si="16"/>
        <v>4440</v>
      </c>
      <c r="R392" s="500" t="str">
        <f t="shared" si="17"/>
        <v/>
      </c>
    </row>
    <row r="393" spans="2:18" hidden="1">
      <c r="B393" s="84">
        <v>383</v>
      </c>
      <c r="C393" s="518">
        <v>657</v>
      </c>
      <c r="D393" s="718">
        <f t="shared" si="15"/>
        <v>33</v>
      </c>
      <c r="E393" s="686">
        <v>45152</v>
      </c>
      <c r="F393" s="519"/>
      <c r="G393" s="519"/>
      <c r="H393" s="519"/>
      <c r="I393" s="520"/>
      <c r="J393" s="519" t="s">
        <v>74</v>
      </c>
      <c r="K393" s="519" t="s">
        <v>553</v>
      </c>
      <c r="L393" s="519" t="s">
        <v>185</v>
      </c>
      <c r="M393" s="521"/>
      <c r="N393" s="521">
        <v>265</v>
      </c>
      <c r="O393" s="522"/>
      <c r="P393" s="522">
        <v>20</v>
      </c>
      <c r="Q393" s="523" t="str">
        <f t="shared" si="16"/>
        <v/>
      </c>
      <c r="R393" s="500">
        <f t="shared" si="17"/>
        <v>5300</v>
      </c>
    </row>
    <row r="394" spans="2:18" hidden="1">
      <c r="B394" s="84">
        <v>384</v>
      </c>
      <c r="C394" s="518"/>
      <c r="D394" s="718">
        <f t="shared" si="15"/>
        <v>33</v>
      </c>
      <c r="E394" s="686">
        <v>45152</v>
      </c>
      <c r="F394" s="519"/>
      <c r="G394" s="519"/>
      <c r="H394" s="519"/>
      <c r="I394" s="520"/>
      <c r="J394" s="519" t="s">
        <v>81</v>
      </c>
      <c r="K394" s="519" t="s">
        <v>162</v>
      </c>
      <c r="L394" s="519" t="s">
        <v>163</v>
      </c>
      <c r="M394" s="521">
        <v>17000</v>
      </c>
      <c r="N394" s="521"/>
      <c r="O394" s="522">
        <f>(434+351+400+182)/1000</f>
        <v>1.367</v>
      </c>
      <c r="P394" s="522"/>
      <c r="Q394" s="523">
        <f t="shared" si="16"/>
        <v>23239</v>
      </c>
      <c r="R394" s="500" t="str">
        <f t="shared" si="17"/>
        <v/>
      </c>
    </row>
    <row r="395" spans="2:18" hidden="1">
      <c r="B395" s="84">
        <v>385</v>
      </c>
      <c r="C395" s="518">
        <v>658</v>
      </c>
      <c r="D395" s="718">
        <f t="shared" ref="D395:D458" si="18">WEEKNUM(E395,21)</f>
        <v>33</v>
      </c>
      <c r="E395" s="686">
        <v>45153</v>
      </c>
      <c r="F395" s="519" t="s">
        <v>112</v>
      </c>
      <c r="G395" s="519" t="s">
        <v>114</v>
      </c>
      <c r="H395" s="519" t="s">
        <v>114</v>
      </c>
      <c r="I395" s="85" t="s">
        <v>632</v>
      </c>
      <c r="J395" s="519" t="s">
        <v>74</v>
      </c>
      <c r="K395" s="519" t="s">
        <v>56</v>
      </c>
      <c r="L395" s="519" t="s">
        <v>91</v>
      </c>
      <c r="M395" s="521"/>
      <c r="N395" s="521">
        <v>40</v>
      </c>
      <c r="O395" s="522"/>
      <c r="P395" s="522">
        <v>800</v>
      </c>
      <c r="Q395" s="523" t="str">
        <f t="shared" ref="Q395:Q458" si="19">IF((M395*O395)&lt;=0,"",(M395*O395))</f>
        <v/>
      </c>
      <c r="R395" s="500">
        <f t="shared" ref="R395:R458" si="20">IF((N395*P395)&lt;=0,"",(N395*P395))</f>
        <v>32000</v>
      </c>
    </row>
    <row r="396" spans="2:18" hidden="1">
      <c r="B396" s="84">
        <v>386</v>
      </c>
      <c r="C396" s="518"/>
      <c r="D396" s="718">
        <f t="shared" si="18"/>
        <v>33</v>
      </c>
      <c r="E396" s="686">
        <v>45154</v>
      </c>
      <c r="F396" s="519" t="s">
        <v>277</v>
      </c>
      <c r="G396" s="519" t="s">
        <v>361</v>
      </c>
      <c r="H396" s="519" t="s">
        <v>283</v>
      </c>
      <c r="I396" s="520"/>
      <c r="J396" s="519" t="s">
        <v>74</v>
      </c>
      <c r="K396" s="519" t="s">
        <v>162</v>
      </c>
      <c r="L396" s="519" t="s">
        <v>163</v>
      </c>
      <c r="M396" s="521"/>
      <c r="N396" s="521"/>
      <c r="O396" s="522"/>
      <c r="P396" s="522">
        <f>70/1000</f>
        <v>7.0000000000000007E-2</v>
      </c>
      <c r="Q396" s="523" t="str">
        <f t="shared" si="19"/>
        <v/>
      </c>
      <c r="R396" s="500" t="str">
        <f t="shared" si="20"/>
        <v/>
      </c>
    </row>
    <row r="397" spans="2:18" hidden="1">
      <c r="B397" s="84">
        <v>387</v>
      </c>
      <c r="C397" s="518"/>
      <c r="D397" s="718">
        <f t="shared" si="18"/>
        <v>33</v>
      </c>
      <c r="E397" s="686">
        <v>45154</v>
      </c>
      <c r="F397" s="519"/>
      <c r="G397" s="519"/>
      <c r="H397" s="519"/>
      <c r="I397" s="520"/>
      <c r="J397" s="519" t="s">
        <v>74</v>
      </c>
      <c r="K397" s="519" t="s">
        <v>162</v>
      </c>
      <c r="L397" s="519" t="s">
        <v>163</v>
      </c>
      <c r="M397" s="521"/>
      <c r="N397" s="521">
        <v>25000</v>
      </c>
      <c r="O397" s="522"/>
      <c r="P397" s="522">
        <f>(50+75+100+100+100+300+300)/1000</f>
        <v>1.0249999999999999</v>
      </c>
      <c r="Q397" s="523" t="str">
        <f t="shared" si="19"/>
        <v/>
      </c>
      <c r="R397" s="500">
        <f t="shared" si="20"/>
        <v>25624.999999999996</v>
      </c>
    </row>
    <row r="398" spans="2:18" hidden="1">
      <c r="B398" s="84">
        <v>388</v>
      </c>
      <c r="C398" s="518"/>
      <c r="D398" s="718">
        <f t="shared" si="18"/>
        <v>33</v>
      </c>
      <c r="E398" s="686">
        <v>45156</v>
      </c>
      <c r="F398" s="519"/>
      <c r="G398" s="519"/>
      <c r="H398" s="519"/>
      <c r="I398" s="520"/>
      <c r="J398" s="519" t="s">
        <v>74</v>
      </c>
      <c r="K398" s="519" t="s">
        <v>164</v>
      </c>
      <c r="L398" s="519" t="s">
        <v>165</v>
      </c>
      <c r="M398" s="521"/>
      <c r="N398" s="521">
        <v>82.5</v>
      </c>
      <c r="O398" s="522"/>
      <c r="P398" s="522">
        <v>15</v>
      </c>
      <c r="Q398" s="523" t="str">
        <f t="shared" si="19"/>
        <v/>
      </c>
      <c r="R398" s="500">
        <f t="shared" si="20"/>
        <v>1237.5</v>
      </c>
    </row>
    <row r="399" spans="2:18" hidden="1">
      <c r="B399" s="84">
        <v>389</v>
      </c>
      <c r="C399" s="518"/>
      <c r="D399" s="718">
        <f t="shared" si="18"/>
        <v>33</v>
      </c>
      <c r="E399" s="686">
        <v>45157</v>
      </c>
      <c r="F399" s="519"/>
      <c r="G399" s="519"/>
      <c r="H399" s="519"/>
      <c r="I399" s="520"/>
      <c r="J399" s="519" t="s">
        <v>81</v>
      </c>
      <c r="K399" s="519" t="s">
        <v>87</v>
      </c>
      <c r="L399" s="519" t="s">
        <v>91</v>
      </c>
      <c r="M399" s="521">
        <v>0.75</v>
      </c>
      <c r="N399" s="521"/>
      <c r="O399" s="522">
        <v>10000</v>
      </c>
      <c r="P399" s="511"/>
      <c r="Q399" s="523">
        <f t="shared" si="19"/>
        <v>7500</v>
      </c>
      <c r="R399" s="500" t="str">
        <f t="shared" si="20"/>
        <v/>
      </c>
    </row>
    <row r="400" spans="2:18" hidden="1">
      <c r="B400" s="84">
        <v>390</v>
      </c>
      <c r="C400" s="518" t="s">
        <v>555</v>
      </c>
      <c r="D400" s="718">
        <f t="shared" si="18"/>
        <v>33</v>
      </c>
      <c r="E400" s="686">
        <v>45157</v>
      </c>
      <c r="F400" s="519" t="s">
        <v>104</v>
      </c>
      <c r="G400" s="519" t="s">
        <v>95</v>
      </c>
      <c r="H400" s="519" t="s">
        <v>303</v>
      </c>
      <c r="I400" s="520"/>
      <c r="J400" s="519" t="s">
        <v>74</v>
      </c>
      <c r="K400" s="519" t="s">
        <v>87</v>
      </c>
      <c r="L400" s="519" t="s">
        <v>91</v>
      </c>
      <c r="M400" s="521"/>
      <c r="N400" s="521">
        <v>1.2</v>
      </c>
      <c r="O400" s="522"/>
      <c r="P400" s="522">
        <v>500</v>
      </c>
      <c r="Q400" s="523" t="str">
        <f t="shared" si="19"/>
        <v/>
      </c>
      <c r="R400" s="500">
        <f t="shared" si="20"/>
        <v>600</v>
      </c>
    </row>
    <row r="401" spans="2:18" hidden="1">
      <c r="B401" s="84">
        <v>391</v>
      </c>
      <c r="C401" s="524"/>
      <c r="D401" s="718">
        <f t="shared" si="18"/>
        <v>34</v>
      </c>
      <c r="E401" s="687">
        <v>45159</v>
      </c>
      <c r="F401" s="525"/>
      <c r="G401" s="525"/>
      <c r="H401" s="525"/>
      <c r="I401" s="526"/>
      <c r="J401" s="525" t="s">
        <v>81</v>
      </c>
      <c r="K401" s="525" t="s">
        <v>162</v>
      </c>
      <c r="L401" s="525" t="s">
        <v>163</v>
      </c>
      <c r="M401" s="527">
        <v>17000</v>
      </c>
      <c r="N401" s="527"/>
      <c r="O401" s="528">
        <f>(315+230+160+200)/1000</f>
        <v>0.90500000000000003</v>
      </c>
      <c r="P401" s="528"/>
      <c r="Q401" s="529">
        <f t="shared" si="19"/>
        <v>15385</v>
      </c>
      <c r="R401" s="500" t="str">
        <f t="shared" si="20"/>
        <v/>
      </c>
    </row>
    <row r="402" spans="2:18" hidden="1">
      <c r="B402" s="84">
        <v>392</v>
      </c>
      <c r="C402" s="524"/>
      <c r="D402" s="718">
        <f t="shared" si="18"/>
        <v>34</v>
      </c>
      <c r="E402" s="687">
        <v>45162</v>
      </c>
      <c r="F402" s="525"/>
      <c r="G402" s="525"/>
      <c r="H402" s="525"/>
      <c r="I402" s="526"/>
      <c r="J402" s="525" t="s">
        <v>74</v>
      </c>
      <c r="K402" s="525" t="s">
        <v>164</v>
      </c>
      <c r="L402" s="525" t="s">
        <v>165</v>
      </c>
      <c r="M402" s="527"/>
      <c r="N402" s="527">
        <v>82.5</v>
      </c>
      <c r="O402" s="528"/>
      <c r="P402" s="528">
        <f>18+7+3</f>
        <v>28</v>
      </c>
      <c r="Q402" s="529" t="str">
        <f t="shared" si="19"/>
        <v/>
      </c>
      <c r="R402" s="500">
        <f t="shared" si="20"/>
        <v>2310</v>
      </c>
    </row>
    <row r="403" spans="2:18" hidden="1">
      <c r="B403" s="84">
        <v>393</v>
      </c>
      <c r="C403" s="524"/>
      <c r="D403" s="718">
        <f t="shared" si="18"/>
        <v>34</v>
      </c>
      <c r="E403" s="687">
        <v>45162</v>
      </c>
      <c r="F403" s="525"/>
      <c r="G403" s="525"/>
      <c r="H403" s="525"/>
      <c r="I403" s="526"/>
      <c r="J403" s="525" t="s">
        <v>74</v>
      </c>
      <c r="K403" s="525" t="s">
        <v>162</v>
      </c>
      <c r="L403" s="525" t="s">
        <v>163</v>
      </c>
      <c r="M403" s="527"/>
      <c r="N403" s="527">
        <v>25000</v>
      </c>
      <c r="O403" s="528"/>
      <c r="P403" s="528">
        <f>(100+250+300+250)/1000</f>
        <v>0.9</v>
      </c>
      <c r="Q403" s="529" t="str">
        <f t="shared" si="19"/>
        <v/>
      </c>
      <c r="R403" s="500">
        <f t="shared" si="20"/>
        <v>22500</v>
      </c>
    </row>
    <row r="404" spans="2:18" hidden="1">
      <c r="B404" s="84">
        <v>394</v>
      </c>
      <c r="C404" s="524"/>
      <c r="D404" s="718">
        <f t="shared" si="18"/>
        <v>34</v>
      </c>
      <c r="E404" s="687">
        <v>45163</v>
      </c>
      <c r="F404" s="525"/>
      <c r="G404" s="525"/>
      <c r="H404" s="525"/>
      <c r="I404" s="526"/>
      <c r="J404" s="525" t="s">
        <v>81</v>
      </c>
      <c r="K404" s="525" t="s">
        <v>161</v>
      </c>
      <c r="L404" s="525" t="s">
        <v>185</v>
      </c>
      <c r="M404" s="527">
        <v>199.92359142534642</v>
      </c>
      <c r="N404" s="527"/>
      <c r="O404" s="528">
        <v>200</v>
      </c>
      <c r="P404" s="528"/>
      <c r="Q404" s="529">
        <f t="shared" si="19"/>
        <v>39984.718285069284</v>
      </c>
      <c r="R404" s="500" t="str">
        <f t="shared" si="20"/>
        <v/>
      </c>
    </row>
    <row r="405" spans="2:18" hidden="1">
      <c r="B405" s="84">
        <v>395</v>
      </c>
      <c r="C405" s="524"/>
      <c r="D405" s="718">
        <f t="shared" si="18"/>
        <v>34</v>
      </c>
      <c r="E405" s="687">
        <v>45163</v>
      </c>
      <c r="F405" s="525"/>
      <c r="G405" s="525"/>
      <c r="H405" s="525"/>
      <c r="I405" s="526"/>
      <c r="J405" s="525" t="s">
        <v>81</v>
      </c>
      <c r="K405" s="525" t="s">
        <v>652</v>
      </c>
      <c r="L405" s="525" t="s">
        <v>185</v>
      </c>
      <c r="M405" s="527">
        <v>247.18544827008316</v>
      </c>
      <c r="N405" s="527"/>
      <c r="O405" s="528">
        <v>200</v>
      </c>
      <c r="P405" s="528"/>
      <c r="Q405" s="529">
        <f t="shared" si="19"/>
        <v>49437.089654016629</v>
      </c>
      <c r="R405" s="500" t="str">
        <f t="shared" si="20"/>
        <v/>
      </c>
    </row>
    <row r="406" spans="2:18" hidden="1">
      <c r="B406" s="84">
        <v>396</v>
      </c>
      <c r="C406" s="524" t="s">
        <v>558</v>
      </c>
      <c r="D406" s="718">
        <f t="shared" si="18"/>
        <v>34</v>
      </c>
      <c r="E406" s="687">
        <v>45164</v>
      </c>
      <c r="F406" s="525"/>
      <c r="G406" s="525"/>
      <c r="H406" s="525"/>
      <c r="I406" s="526"/>
      <c r="J406" s="525" t="s">
        <v>81</v>
      </c>
      <c r="K406" s="525" t="s">
        <v>56</v>
      </c>
      <c r="L406" s="525" t="s">
        <v>91</v>
      </c>
      <c r="M406" s="527"/>
      <c r="N406" s="527"/>
      <c r="O406" s="528"/>
      <c r="P406" s="528">
        <v>-1340</v>
      </c>
      <c r="Q406" s="529" t="str">
        <f t="shared" si="19"/>
        <v/>
      </c>
      <c r="R406" s="500" t="str">
        <f t="shared" si="20"/>
        <v/>
      </c>
    </row>
    <row r="407" spans="2:18" hidden="1">
      <c r="B407" s="84">
        <v>397</v>
      </c>
      <c r="C407" s="524">
        <v>663</v>
      </c>
      <c r="D407" s="718">
        <f t="shared" si="18"/>
        <v>34</v>
      </c>
      <c r="E407" s="687">
        <v>45164</v>
      </c>
      <c r="F407" s="525" t="s">
        <v>113</v>
      </c>
      <c r="G407" s="525" t="s">
        <v>276</v>
      </c>
      <c r="H407" s="525" t="s">
        <v>276</v>
      </c>
      <c r="I407" s="526"/>
      <c r="J407" s="525" t="s">
        <v>74</v>
      </c>
      <c r="K407" s="525" t="s">
        <v>56</v>
      </c>
      <c r="L407" s="525" t="s">
        <v>91</v>
      </c>
      <c r="M407" s="527"/>
      <c r="N407" s="527">
        <v>80</v>
      </c>
      <c r="O407" s="528"/>
      <c r="P407" s="528">
        <v>1340</v>
      </c>
      <c r="Q407" s="529" t="str">
        <f t="shared" si="19"/>
        <v/>
      </c>
      <c r="R407" s="500">
        <f t="shared" si="20"/>
        <v>107200</v>
      </c>
    </row>
    <row r="408" spans="2:18" hidden="1">
      <c r="B408" s="84">
        <v>398</v>
      </c>
      <c r="C408" s="530"/>
      <c r="D408" s="718">
        <f t="shared" si="18"/>
        <v>35</v>
      </c>
      <c r="E408" s="688">
        <v>45166</v>
      </c>
      <c r="F408" s="531"/>
      <c r="G408" s="531"/>
      <c r="H408" s="531"/>
      <c r="I408" s="532"/>
      <c r="J408" s="531" t="s">
        <v>81</v>
      </c>
      <c r="K408" s="531" t="s">
        <v>161</v>
      </c>
      <c r="L408" s="531" t="s">
        <v>185</v>
      </c>
      <c r="M408" s="533">
        <v>199.92359142534642</v>
      </c>
      <c r="N408" s="533"/>
      <c r="O408" s="534">
        <v>400</v>
      </c>
      <c r="P408" s="534"/>
      <c r="Q408" s="535">
        <f t="shared" si="19"/>
        <v>79969.436570138569</v>
      </c>
      <c r="R408" s="500" t="str">
        <f t="shared" si="20"/>
        <v/>
      </c>
    </row>
    <row r="409" spans="2:18" hidden="1">
      <c r="B409" s="84">
        <v>399</v>
      </c>
      <c r="C409" s="530">
        <v>664</v>
      </c>
      <c r="D409" s="718">
        <f t="shared" si="18"/>
        <v>35</v>
      </c>
      <c r="E409" s="688">
        <v>45166</v>
      </c>
      <c r="F409" s="531" t="s">
        <v>112</v>
      </c>
      <c r="G409" s="531" t="s">
        <v>114</v>
      </c>
      <c r="H409" s="531" t="s">
        <v>114</v>
      </c>
      <c r="I409" s="326" t="s">
        <v>625</v>
      </c>
      <c r="J409" s="531" t="s">
        <v>74</v>
      </c>
      <c r="K409" s="531" t="s">
        <v>652</v>
      </c>
      <c r="L409" s="531" t="s">
        <v>185</v>
      </c>
      <c r="M409" s="533"/>
      <c r="N409" s="533">
        <v>299</v>
      </c>
      <c r="O409" s="534"/>
      <c r="P409" s="534">
        <v>400</v>
      </c>
      <c r="Q409" s="535" t="str">
        <f t="shared" si="19"/>
        <v/>
      </c>
      <c r="R409" s="500">
        <f t="shared" si="20"/>
        <v>119600</v>
      </c>
    </row>
    <row r="410" spans="2:18" hidden="1">
      <c r="B410" s="84">
        <v>400</v>
      </c>
      <c r="C410" s="530"/>
      <c r="D410" s="718">
        <f t="shared" si="18"/>
        <v>35</v>
      </c>
      <c r="E410" s="688">
        <v>45167</v>
      </c>
      <c r="F410" s="531"/>
      <c r="G410" s="531"/>
      <c r="H410" s="531"/>
      <c r="I410" s="532"/>
      <c r="J410" s="531" t="s">
        <v>81</v>
      </c>
      <c r="K410" s="531" t="s">
        <v>652</v>
      </c>
      <c r="L410" s="531" t="s">
        <v>185</v>
      </c>
      <c r="M410" s="533">
        <v>247.18544827008316</v>
      </c>
      <c r="N410" s="533"/>
      <c r="O410" s="534">
        <v>400</v>
      </c>
      <c r="P410" s="534"/>
      <c r="Q410" s="535">
        <f t="shared" si="19"/>
        <v>98874.179308033257</v>
      </c>
      <c r="R410" s="500" t="str">
        <f t="shared" si="20"/>
        <v/>
      </c>
    </row>
    <row r="411" spans="2:18" hidden="1">
      <c r="B411" s="84">
        <v>401</v>
      </c>
      <c r="C411" s="536"/>
      <c r="D411" s="718">
        <f t="shared" si="18"/>
        <v>35</v>
      </c>
      <c r="E411" s="689">
        <v>45168</v>
      </c>
      <c r="F411" s="537"/>
      <c r="G411" s="537"/>
      <c r="H411" s="537"/>
      <c r="I411" s="538"/>
      <c r="J411" s="537" t="s">
        <v>81</v>
      </c>
      <c r="K411" s="537" t="s">
        <v>56</v>
      </c>
      <c r="L411" s="537" t="s">
        <v>91</v>
      </c>
      <c r="M411" s="539">
        <v>27.769467619047621</v>
      </c>
      <c r="N411" s="539"/>
      <c r="O411" s="540">
        <v>2000</v>
      </c>
      <c r="P411" s="540"/>
      <c r="Q411" s="541">
        <f t="shared" si="19"/>
        <v>55538.93523809524</v>
      </c>
      <c r="R411" s="500" t="str">
        <f t="shared" si="20"/>
        <v/>
      </c>
    </row>
    <row r="412" spans="2:18" hidden="1">
      <c r="B412" s="84">
        <v>402</v>
      </c>
      <c r="C412" s="536"/>
      <c r="D412" s="718">
        <f t="shared" si="18"/>
        <v>35</v>
      </c>
      <c r="E412" s="689">
        <v>45168</v>
      </c>
      <c r="F412" s="537"/>
      <c r="G412" s="537"/>
      <c r="H412" s="537"/>
      <c r="I412" s="538"/>
      <c r="J412" s="537" t="s">
        <v>81</v>
      </c>
      <c r="K412" s="537" t="s">
        <v>162</v>
      </c>
      <c r="L412" s="537" t="s">
        <v>163</v>
      </c>
      <c r="M412" s="539">
        <v>17000</v>
      </c>
      <c r="N412" s="539"/>
      <c r="O412" s="540">
        <f>(230+175+160+65)/1000</f>
        <v>0.63</v>
      </c>
      <c r="P412" s="540"/>
      <c r="Q412" s="541">
        <f t="shared" si="19"/>
        <v>10710</v>
      </c>
      <c r="R412" s="500" t="str">
        <f t="shared" si="20"/>
        <v/>
      </c>
    </row>
    <row r="413" spans="2:18" hidden="1">
      <c r="B413" s="84">
        <v>403</v>
      </c>
      <c r="C413" s="536"/>
      <c r="D413" s="718">
        <f t="shared" si="18"/>
        <v>35</v>
      </c>
      <c r="E413" s="689">
        <v>45168</v>
      </c>
      <c r="F413" s="537" t="s">
        <v>277</v>
      </c>
      <c r="G413" s="537" t="s">
        <v>361</v>
      </c>
      <c r="H413" s="537" t="s">
        <v>283</v>
      </c>
      <c r="I413" s="538"/>
      <c r="J413" s="537" t="s">
        <v>74</v>
      </c>
      <c r="K413" s="537" t="s">
        <v>162</v>
      </c>
      <c r="L413" s="537" t="s">
        <v>163</v>
      </c>
      <c r="M413" s="539"/>
      <c r="N413" s="539"/>
      <c r="O413" s="540"/>
      <c r="P413" s="540">
        <f>70/1000</f>
        <v>7.0000000000000007E-2</v>
      </c>
      <c r="Q413" s="541" t="str">
        <f t="shared" si="19"/>
        <v/>
      </c>
      <c r="R413" s="500" t="str">
        <f t="shared" si="20"/>
        <v/>
      </c>
    </row>
    <row r="414" spans="2:18" hidden="1">
      <c r="B414" s="84">
        <v>404</v>
      </c>
      <c r="C414" s="536"/>
      <c r="D414" s="718">
        <f t="shared" si="18"/>
        <v>35</v>
      </c>
      <c r="E414" s="689">
        <v>45168</v>
      </c>
      <c r="F414" s="537"/>
      <c r="G414" s="537"/>
      <c r="H414" s="537"/>
      <c r="I414" s="538"/>
      <c r="J414" s="537" t="s">
        <v>74</v>
      </c>
      <c r="K414" s="537" t="s">
        <v>87</v>
      </c>
      <c r="L414" s="537" t="s">
        <v>91</v>
      </c>
      <c r="M414" s="539"/>
      <c r="N414" s="539"/>
      <c r="O414" s="540"/>
      <c r="P414" s="542">
        <v>750</v>
      </c>
      <c r="Q414" s="541" t="str">
        <f t="shared" si="19"/>
        <v/>
      </c>
      <c r="R414" s="500" t="str">
        <f t="shared" si="20"/>
        <v/>
      </c>
    </row>
    <row r="415" spans="2:18" hidden="1">
      <c r="B415" s="84">
        <v>405</v>
      </c>
      <c r="C415" s="536"/>
      <c r="D415" s="718">
        <f t="shared" si="18"/>
        <v>35</v>
      </c>
      <c r="E415" s="689">
        <v>45169</v>
      </c>
      <c r="F415" s="537"/>
      <c r="G415" s="537"/>
      <c r="H415" s="537"/>
      <c r="I415" s="538"/>
      <c r="J415" s="537" t="s">
        <v>74</v>
      </c>
      <c r="K415" s="537" t="s">
        <v>56</v>
      </c>
      <c r="L415" s="537" t="s">
        <v>91</v>
      </c>
      <c r="M415" s="539"/>
      <c r="N415" s="539"/>
      <c r="O415" s="540"/>
      <c r="P415" s="1138">
        <v>1340</v>
      </c>
      <c r="Q415" s="541" t="str">
        <f t="shared" si="19"/>
        <v/>
      </c>
      <c r="R415" s="500" t="str">
        <f t="shared" si="20"/>
        <v/>
      </c>
    </row>
    <row r="416" spans="2:18" hidden="1">
      <c r="B416" s="84">
        <v>406</v>
      </c>
      <c r="C416" s="536"/>
      <c r="D416" s="718">
        <f t="shared" si="18"/>
        <v>35</v>
      </c>
      <c r="E416" s="689">
        <v>45169</v>
      </c>
      <c r="F416" s="537"/>
      <c r="G416" s="537"/>
      <c r="H416" s="537"/>
      <c r="I416" s="538"/>
      <c r="J416" s="537" t="s">
        <v>74</v>
      </c>
      <c r="K416" s="537" t="s">
        <v>162</v>
      </c>
      <c r="L416" s="537" t="s">
        <v>163</v>
      </c>
      <c r="M416" s="539"/>
      <c r="N416" s="539">
        <v>25000</v>
      </c>
      <c r="O416" s="540"/>
      <c r="P416" s="540">
        <f>(150+150)/1000</f>
        <v>0.3</v>
      </c>
      <c r="Q416" s="541" t="str">
        <f t="shared" si="19"/>
        <v/>
      </c>
      <c r="R416" s="500">
        <f t="shared" si="20"/>
        <v>7500</v>
      </c>
    </row>
    <row r="417" spans="2:18" hidden="1">
      <c r="B417" s="84">
        <v>407</v>
      </c>
      <c r="C417" s="536"/>
      <c r="D417" s="718">
        <f t="shared" si="18"/>
        <v>35</v>
      </c>
      <c r="E417" s="689">
        <v>45170</v>
      </c>
      <c r="F417" s="537"/>
      <c r="G417" s="537"/>
      <c r="H417" s="537"/>
      <c r="I417" s="538"/>
      <c r="J417" s="537" t="s">
        <v>74</v>
      </c>
      <c r="K417" s="537" t="s">
        <v>164</v>
      </c>
      <c r="L417" s="537" t="s">
        <v>165</v>
      </c>
      <c r="M417" s="539"/>
      <c r="N417" s="539"/>
      <c r="O417" s="540"/>
      <c r="P417" s="543">
        <v>5</v>
      </c>
      <c r="Q417" s="499" t="str">
        <f t="shared" si="19"/>
        <v/>
      </c>
      <c r="R417" s="500" t="str">
        <f t="shared" si="20"/>
        <v/>
      </c>
    </row>
    <row r="418" spans="2:18" hidden="1">
      <c r="B418" s="84">
        <v>408</v>
      </c>
      <c r="C418" s="536"/>
      <c r="D418" s="718">
        <f t="shared" si="18"/>
        <v>35</v>
      </c>
      <c r="E418" s="689">
        <v>45170</v>
      </c>
      <c r="F418" s="537"/>
      <c r="G418" s="537"/>
      <c r="H418" s="537"/>
      <c r="I418" s="538"/>
      <c r="J418" s="537" t="s">
        <v>74</v>
      </c>
      <c r="K418" s="537" t="s">
        <v>164</v>
      </c>
      <c r="L418" s="537" t="s">
        <v>165</v>
      </c>
      <c r="M418" s="539"/>
      <c r="N418" s="539"/>
      <c r="O418" s="540"/>
      <c r="P418" s="543">
        <v>1</v>
      </c>
      <c r="Q418" s="499" t="str">
        <f t="shared" si="19"/>
        <v/>
      </c>
      <c r="R418" s="500" t="str">
        <f t="shared" si="20"/>
        <v/>
      </c>
    </row>
    <row r="419" spans="2:18" hidden="1">
      <c r="B419" s="84">
        <v>409</v>
      </c>
      <c r="C419" s="536"/>
      <c r="D419" s="718">
        <f t="shared" si="18"/>
        <v>35</v>
      </c>
      <c r="E419" s="689">
        <v>45171</v>
      </c>
      <c r="F419" s="537"/>
      <c r="G419" s="537"/>
      <c r="H419" s="537"/>
      <c r="I419" s="538"/>
      <c r="J419" s="537" t="s">
        <v>81</v>
      </c>
      <c r="K419" s="537" t="s">
        <v>85</v>
      </c>
      <c r="L419" s="537" t="s">
        <v>91</v>
      </c>
      <c r="M419" s="539">
        <v>1.25</v>
      </c>
      <c r="N419" s="539"/>
      <c r="O419" s="540">
        <v>6000</v>
      </c>
      <c r="P419" s="522"/>
      <c r="Q419" s="541">
        <f t="shared" si="19"/>
        <v>7500</v>
      </c>
      <c r="R419" s="500" t="str">
        <f t="shared" si="20"/>
        <v/>
      </c>
    </row>
    <row r="420" spans="2:18" hidden="1">
      <c r="B420" s="84">
        <v>410</v>
      </c>
      <c r="C420" s="536"/>
      <c r="D420" s="718">
        <f t="shared" si="18"/>
        <v>35</v>
      </c>
      <c r="E420" s="689">
        <v>45171</v>
      </c>
      <c r="F420" s="537"/>
      <c r="G420" s="537"/>
      <c r="H420" s="537"/>
      <c r="I420" s="538"/>
      <c r="J420" s="537" t="s">
        <v>81</v>
      </c>
      <c r="K420" s="537" t="s">
        <v>87</v>
      </c>
      <c r="L420" s="537" t="s">
        <v>91</v>
      </c>
      <c r="M420" s="539">
        <v>0.75</v>
      </c>
      <c r="N420" s="539"/>
      <c r="O420" s="540">
        <v>10000</v>
      </c>
      <c r="P420" s="540"/>
      <c r="Q420" s="541">
        <f t="shared" si="19"/>
        <v>7500</v>
      </c>
      <c r="R420" s="500" t="str">
        <f t="shared" si="20"/>
        <v/>
      </c>
    </row>
    <row r="421" spans="2:18" hidden="1">
      <c r="B421" s="84">
        <v>411</v>
      </c>
      <c r="C421" s="536"/>
      <c r="D421" s="718">
        <f t="shared" si="18"/>
        <v>35</v>
      </c>
      <c r="E421" s="689">
        <v>45171</v>
      </c>
      <c r="F421" s="537"/>
      <c r="G421" s="537"/>
      <c r="H421" s="537"/>
      <c r="I421" s="538"/>
      <c r="J421" s="537" t="s">
        <v>81</v>
      </c>
      <c r="K421" s="537" t="s">
        <v>86</v>
      </c>
      <c r="L421" s="537" t="s">
        <v>91</v>
      </c>
      <c r="M421" s="539">
        <v>2.2000000000000002</v>
      </c>
      <c r="N421" s="539"/>
      <c r="O421" s="540">
        <v>3000</v>
      </c>
      <c r="P421" s="511"/>
      <c r="Q421" s="541">
        <f t="shared" si="19"/>
        <v>6600.0000000000009</v>
      </c>
      <c r="R421" s="500" t="str">
        <f t="shared" si="20"/>
        <v/>
      </c>
    </row>
    <row r="422" spans="2:18" hidden="1">
      <c r="B422" s="84">
        <v>412</v>
      </c>
      <c r="C422" s="549">
        <v>665</v>
      </c>
      <c r="D422" s="718">
        <f t="shared" si="18"/>
        <v>36</v>
      </c>
      <c r="E422" s="690">
        <v>45174</v>
      </c>
      <c r="F422" s="544" t="s">
        <v>112</v>
      </c>
      <c r="G422" s="544" t="s">
        <v>114</v>
      </c>
      <c r="H422" s="544" t="s">
        <v>114</v>
      </c>
      <c r="I422" s="85" t="s">
        <v>626</v>
      </c>
      <c r="J422" s="544" t="s">
        <v>74</v>
      </c>
      <c r="K422" s="544" t="s">
        <v>652</v>
      </c>
      <c r="L422" s="544" t="s">
        <v>185</v>
      </c>
      <c r="M422" s="545"/>
      <c r="N422" s="545">
        <v>299</v>
      </c>
      <c r="O422" s="546"/>
      <c r="P422" s="546">
        <v>400</v>
      </c>
      <c r="Q422" s="547" t="str">
        <f t="shared" si="19"/>
        <v/>
      </c>
      <c r="R422" s="500">
        <f t="shared" si="20"/>
        <v>119600</v>
      </c>
    </row>
    <row r="423" spans="2:18" hidden="1">
      <c r="B423" s="84">
        <v>413</v>
      </c>
      <c r="C423" s="549" t="s">
        <v>554</v>
      </c>
      <c r="D423" s="718">
        <f t="shared" si="18"/>
        <v>36</v>
      </c>
      <c r="E423" s="690">
        <v>45175</v>
      </c>
      <c r="F423" s="544" t="s">
        <v>107</v>
      </c>
      <c r="G423" s="544" t="s">
        <v>97</v>
      </c>
      <c r="H423" s="544" t="s">
        <v>338</v>
      </c>
      <c r="I423" s="548"/>
      <c r="J423" s="544" t="s">
        <v>74</v>
      </c>
      <c r="K423" s="544" t="s">
        <v>87</v>
      </c>
      <c r="L423" s="544" t="s">
        <v>91</v>
      </c>
      <c r="M423" s="545"/>
      <c r="N423" s="545">
        <v>1.2</v>
      </c>
      <c r="O423" s="546"/>
      <c r="P423" s="546">
        <v>20000</v>
      </c>
      <c r="Q423" s="547" t="str">
        <f t="shared" si="19"/>
        <v/>
      </c>
      <c r="R423" s="500">
        <f t="shared" si="20"/>
        <v>24000</v>
      </c>
    </row>
    <row r="424" spans="2:18" hidden="1">
      <c r="B424" s="84">
        <v>414</v>
      </c>
      <c r="C424" s="549"/>
      <c r="D424" s="718">
        <f t="shared" si="18"/>
        <v>36</v>
      </c>
      <c r="E424" s="690">
        <v>45175</v>
      </c>
      <c r="F424" s="544"/>
      <c r="G424" s="544"/>
      <c r="H424" s="544"/>
      <c r="I424" s="548"/>
      <c r="J424" s="544" t="s">
        <v>74</v>
      </c>
      <c r="K424" s="544" t="s">
        <v>162</v>
      </c>
      <c r="L424" s="544" t="s">
        <v>163</v>
      </c>
      <c r="M424" s="545"/>
      <c r="N424" s="545">
        <v>25000</v>
      </c>
      <c r="O424" s="546"/>
      <c r="P424" s="546">
        <f>(350+300)/1000</f>
        <v>0.65</v>
      </c>
      <c r="Q424" s="547" t="str">
        <f t="shared" si="19"/>
        <v/>
      </c>
      <c r="R424" s="500">
        <f t="shared" si="20"/>
        <v>16250</v>
      </c>
    </row>
    <row r="425" spans="2:18" hidden="1">
      <c r="B425" s="84">
        <v>415</v>
      </c>
      <c r="C425" s="549"/>
      <c r="D425" s="718">
        <f t="shared" si="18"/>
        <v>36</v>
      </c>
      <c r="E425" s="690">
        <v>45177</v>
      </c>
      <c r="F425" s="544"/>
      <c r="G425" s="544"/>
      <c r="H425" s="544"/>
      <c r="I425" s="548"/>
      <c r="J425" s="544" t="s">
        <v>74</v>
      </c>
      <c r="K425" s="544" t="s">
        <v>164</v>
      </c>
      <c r="L425" s="544" t="s">
        <v>165</v>
      </c>
      <c r="M425" s="545"/>
      <c r="N425" s="545">
        <v>82.5</v>
      </c>
      <c r="O425" s="546"/>
      <c r="P425" s="546">
        <f>34+1+1</f>
        <v>36</v>
      </c>
      <c r="Q425" s="547" t="str">
        <f t="shared" si="19"/>
        <v/>
      </c>
      <c r="R425" s="500">
        <f t="shared" si="20"/>
        <v>2970</v>
      </c>
    </row>
    <row r="426" spans="2:18" hidden="1">
      <c r="B426" s="84">
        <v>416</v>
      </c>
      <c r="C426" s="549"/>
      <c r="D426" s="718">
        <f t="shared" si="18"/>
        <v>36</v>
      </c>
      <c r="E426" s="690">
        <v>45178</v>
      </c>
      <c r="F426" s="544"/>
      <c r="G426" s="544"/>
      <c r="H426" s="544"/>
      <c r="I426" s="548"/>
      <c r="J426" s="544" t="s">
        <v>81</v>
      </c>
      <c r="K426" s="544" t="s">
        <v>162</v>
      </c>
      <c r="L426" s="544" t="s">
        <v>163</v>
      </c>
      <c r="M426" s="545">
        <v>17000</v>
      </c>
      <c r="N426" s="545"/>
      <c r="O426" s="546">
        <f>(73+88+220)/1000</f>
        <v>0.38100000000000001</v>
      </c>
      <c r="P426" s="546"/>
      <c r="Q426" s="547">
        <f t="shared" si="19"/>
        <v>6477</v>
      </c>
      <c r="R426" s="500" t="str">
        <f t="shared" si="20"/>
        <v/>
      </c>
    </row>
    <row r="427" spans="2:18" hidden="1">
      <c r="B427" s="84">
        <v>417</v>
      </c>
      <c r="C427" s="554">
        <v>666</v>
      </c>
      <c r="D427" s="718">
        <f t="shared" si="18"/>
        <v>37</v>
      </c>
      <c r="E427" s="691">
        <v>45181</v>
      </c>
      <c r="F427" s="550" t="s">
        <v>112</v>
      </c>
      <c r="G427" s="550" t="s">
        <v>114</v>
      </c>
      <c r="H427" s="550" t="s">
        <v>114</v>
      </c>
      <c r="I427" s="85" t="s">
        <v>627</v>
      </c>
      <c r="J427" s="550" t="s">
        <v>74</v>
      </c>
      <c r="K427" s="550" t="s">
        <v>652</v>
      </c>
      <c r="L427" s="550" t="s">
        <v>185</v>
      </c>
      <c r="M427" s="551"/>
      <c r="N427" s="551">
        <v>299</v>
      </c>
      <c r="O427" s="552"/>
      <c r="P427" s="552">
        <v>200</v>
      </c>
      <c r="Q427" s="553" t="str">
        <f t="shared" si="19"/>
        <v/>
      </c>
      <c r="R427" s="500">
        <f t="shared" si="20"/>
        <v>59800</v>
      </c>
    </row>
    <row r="428" spans="2:18" hidden="1">
      <c r="B428" s="84">
        <v>418</v>
      </c>
      <c r="C428" s="554"/>
      <c r="D428" s="718">
        <f t="shared" si="18"/>
        <v>37</v>
      </c>
      <c r="E428" s="691">
        <v>45182</v>
      </c>
      <c r="F428" s="550"/>
      <c r="G428" s="550"/>
      <c r="H428" s="550"/>
      <c r="I428" s="555"/>
      <c r="J428" s="550" t="s">
        <v>81</v>
      </c>
      <c r="K428" s="550" t="s">
        <v>162</v>
      </c>
      <c r="L428" s="550" t="s">
        <v>163</v>
      </c>
      <c r="M428" s="551">
        <v>17000</v>
      </c>
      <c r="N428" s="551"/>
      <c r="O428" s="552">
        <f>(250+160+168+100)/1000</f>
        <v>0.67800000000000005</v>
      </c>
      <c r="P428" s="552"/>
      <c r="Q428" s="553">
        <f t="shared" si="19"/>
        <v>11526</v>
      </c>
      <c r="R428" s="500" t="str">
        <f t="shared" si="20"/>
        <v/>
      </c>
    </row>
    <row r="429" spans="2:18" hidden="1">
      <c r="B429" s="84">
        <v>419</v>
      </c>
      <c r="C429" s="554"/>
      <c r="D429" s="718">
        <f t="shared" si="18"/>
        <v>37</v>
      </c>
      <c r="E429" s="691">
        <v>45182</v>
      </c>
      <c r="F429" s="550" t="s">
        <v>277</v>
      </c>
      <c r="G429" s="550" t="s">
        <v>361</v>
      </c>
      <c r="H429" s="550" t="s">
        <v>283</v>
      </c>
      <c r="I429" s="555"/>
      <c r="J429" s="550" t="s">
        <v>74</v>
      </c>
      <c r="K429" s="550" t="s">
        <v>162</v>
      </c>
      <c r="L429" s="550" t="s">
        <v>163</v>
      </c>
      <c r="M429" s="551"/>
      <c r="N429" s="551"/>
      <c r="O429" s="552"/>
      <c r="P429" s="552">
        <f>(80/1000)</f>
        <v>0.08</v>
      </c>
      <c r="Q429" s="553" t="str">
        <f t="shared" si="19"/>
        <v/>
      </c>
      <c r="R429" s="500" t="str">
        <f t="shared" si="20"/>
        <v/>
      </c>
    </row>
    <row r="430" spans="2:18" hidden="1">
      <c r="B430" s="84">
        <v>420</v>
      </c>
      <c r="C430" s="554"/>
      <c r="D430" s="718">
        <f t="shared" si="18"/>
        <v>37</v>
      </c>
      <c r="E430" s="691">
        <v>45183</v>
      </c>
      <c r="F430" s="550"/>
      <c r="G430" s="550"/>
      <c r="H430" s="550"/>
      <c r="I430" s="555"/>
      <c r="J430" s="550" t="s">
        <v>74</v>
      </c>
      <c r="K430" s="550" t="s">
        <v>164</v>
      </c>
      <c r="L430" s="550" t="s">
        <v>165</v>
      </c>
      <c r="M430" s="551"/>
      <c r="N430" s="551">
        <v>82.5</v>
      </c>
      <c r="O430" s="552"/>
      <c r="P430" s="552">
        <f>30+40</f>
        <v>70</v>
      </c>
      <c r="Q430" s="553" t="str">
        <f t="shared" si="19"/>
        <v/>
      </c>
      <c r="R430" s="500">
        <f t="shared" si="20"/>
        <v>5775</v>
      </c>
    </row>
    <row r="431" spans="2:18" hidden="1">
      <c r="B431" s="84">
        <v>421</v>
      </c>
      <c r="C431" s="554"/>
      <c r="D431" s="718">
        <f t="shared" si="18"/>
        <v>37</v>
      </c>
      <c r="E431" s="691">
        <v>45184</v>
      </c>
      <c r="F431" s="550"/>
      <c r="G431" s="550"/>
      <c r="H431" s="550"/>
      <c r="I431" s="555"/>
      <c r="J431" s="550" t="s">
        <v>74</v>
      </c>
      <c r="K431" s="550" t="s">
        <v>162</v>
      </c>
      <c r="L431" s="550" t="s">
        <v>163</v>
      </c>
      <c r="M431" s="551"/>
      <c r="N431" s="551">
        <v>25000</v>
      </c>
      <c r="O431" s="552"/>
      <c r="P431" s="1073">
        <f>(400+200)/1000</f>
        <v>0.6</v>
      </c>
      <c r="Q431" s="553" t="str">
        <f t="shared" si="19"/>
        <v/>
      </c>
      <c r="R431" s="500">
        <f t="shared" si="20"/>
        <v>15000</v>
      </c>
    </row>
    <row r="432" spans="2:18" hidden="1">
      <c r="B432" s="84">
        <v>422</v>
      </c>
      <c r="C432" s="554"/>
      <c r="D432" s="718">
        <f t="shared" si="18"/>
        <v>37</v>
      </c>
      <c r="E432" s="691">
        <v>45185</v>
      </c>
      <c r="F432" s="550"/>
      <c r="G432" s="550"/>
      <c r="H432" s="550"/>
      <c r="I432" s="555"/>
      <c r="J432" s="550" t="s">
        <v>81</v>
      </c>
      <c r="K432" s="550" t="s">
        <v>87</v>
      </c>
      <c r="L432" s="550" t="s">
        <v>91</v>
      </c>
      <c r="M432" s="551">
        <v>0.75</v>
      </c>
      <c r="N432" s="551"/>
      <c r="O432" s="552">
        <v>10000</v>
      </c>
      <c r="P432" s="552"/>
      <c r="Q432" s="553">
        <f t="shared" si="19"/>
        <v>7500</v>
      </c>
      <c r="R432" s="500" t="str">
        <f t="shared" si="20"/>
        <v/>
      </c>
    </row>
    <row r="433" spans="2:18" hidden="1">
      <c r="B433" s="84">
        <v>423</v>
      </c>
      <c r="C433" s="561"/>
      <c r="D433" s="718">
        <f t="shared" si="18"/>
        <v>38</v>
      </c>
      <c r="E433" s="692">
        <v>45187</v>
      </c>
      <c r="F433" s="556"/>
      <c r="G433" s="556"/>
      <c r="H433" s="556"/>
      <c r="I433" s="557"/>
      <c r="J433" s="556" t="s">
        <v>74</v>
      </c>
      <c r="K433" s="556" t="s">
        <v>164</v>
      </c>
      <c r="L433" s="556" t="s">
        <v>165</v>
      </c>
      <c r="M433" s="558"/>
      <c r="N433" s="558">
        <v>82.5</v>
      </c>
      <c r="O433" s="559"/>
      <c r="P433" s="559">
        <v>1</v>
      </c>
      <c r="Q433" s="560" t="str">
        <f t="shared" si="19"/>
        <v/>
      </c>
      <c r="R433" s="500">
        <f t="shared" si="20"/>
        <v>82.5</v>
      </c>
    </row>
    <row r="434" spans="2:18" hidden="1">
      <c r="B434" s="84">
        <v>424</v>
      </c>
      <c r="C434" s="561">
        <v>669</v>
      </c>
      <c r="D434" s="718">
        <f t="shared" si="18"/>
        <v>38</v>
      </c>
      <c r="E434" s="692">
        <v>45187</v>
      </c>
      <c r="F434" s="556" t="s">
        <v>111</v>
      </c>
      <c r="G434" s="556" t="s">
        <v>426</v>
      </c>
      <c r="H434" s="556" t="s">
        <v>426</v>
      </c>
      <c r="I434" s="326" t="s">
        <v>617</v>
      </c>
      <c r="J434" s="556" t="s">
        <v>74</v>
      </c>
      <c r="K434" s="556" t="s">
        <v>56</v>
      </c>
      <c r="L434" s="556" t="s">
        <v>91</v>
      </c>
      <c r="M434" s="558"/>
      <c r="N434" s="558">
        <v>40</v>
      </c>
      <c r="O434" s="559"/>
      <c r="P434" s="559">
        <v>120</v>
      </c>
      <c r="Q434" s="560" t="str">
        <f t="shared" si="19"/>
        <v/>
      </c>
      <c r="R434" s="500">
        <f t="shared" si="20"/>
        <v>4800</v>
      </c>
    </row>
    <row r="435" spans="2:18" hidden="1">
      <c r="B435" s="84">
        <v>425</v>
      </c>
      <c r="C435" s="561"/>
      <c r="D435" s="718">
        <f t="shared" si="18"/>
        <v>38</v>
      </c>
      <c r="E435" s="692">
        <v>45187</v>
      </c>
      <c r="F435" s="556"/>
      <c r="G435" s="556"/>
      <c r="H435" s="556"/>
      <c r="I435" s="557"/>
      <c r="J435" s="556" t="s">
        <v>81</v>
      </c>
      <c r="K435" s="556" t="s">
        <v>652</v>
      </c>
      <c r="L435" s="556" t="s">
        <v>185</v>
      </c>
      <c r="M435" s="558">
        <v>247.18544827008316</v>
      </c>
      <c r="N435" s="558"/>
      <c r="O435" s="559">
        <v>600</v>
      </c>
      <c r="P435" s="559"/>
      <c r="Q435" s="560">
        <f t="shared" si="19"/>
        <v>148311.26896204989</v>
      </c>
      <c r="R435" s="500" t="str">
        <f t="shared" si="20"/>
        <v/>
      </c>
    </row>
    <row r="436" spans="2:18" hidden="1">
      <c r="B436" s="84">
        <v>426</v>
      </c>
      <c r="C436" s="561">
        <v>667</v>
      </c>
      <c r="D436" s="718">
        <f t="shared" si="18"/>
        <v>38</v>
      </c>
      <c r="E436" s="692">
        <v>45188</v>
      </c>
      <c r="F436" s="556" t="s">
        <v>112</v>
      </c>
      <c r="G436" s="556" t="s">
        <v>114</v>
      </c>
      <c r="H436" s="556" t="s">
        <v>114</v>
      </c>
      <c r="I436" s="85" t="s">
        <v>619</v>
      </c>
      <c r="J436" s="556" t="s">
        <v>74</v>
      </c>
      <c r="K436" s="556" t="s">
        <v>161</v>
      </c>
      <c r="L436" s="556" t="s">
        <v>185</v>
      </c>
      <c r="M436" s="558"/>
      <c r="N436" s="558">
        <v>240</v>
      </c>
      <c r="O436" s="559"/>
      <c r="P436" s="559">
        <v>400</v>
      </c>
      <c r="Q436" s="560" t="str">
        <f t="shared" si="19"/>
        <v/>
      </c>
      <c r="R436" s="500">
        <f t="shared" si="20"/>
        <v>96000</v>
      </c>
    </row>
    <row r="437" spans="2:18" hidden="1">
      <c r="B437" s="84">
        <v>427</v>
      </c>
      <c r="C437" s="561"/>
      <c r="D437" s="718">
        <f t="shared" si="18"/>
        <v>38</v>
      </c>
      <c r="E437" s="692">
        <v>45189</v>
      </c>
      <c r="F437" s="556"/>
      <c r="G437" s="556"/>
      <c r="H437" s="556"/>
      <c r="I437" s="557"/>
      <c r="J437" s="556" t="s">
        <v>81</v>
      </c>
      <c r="K437" s="556" t="s">
        <v>461</v>
      </c>
      <c r="L437" s="556" t="s">
        <v>185</v>
      </c>
      <c r="M437" s="558">
        <v>82.584879220000005</v>
      </c>
      <c r="N437" s="558"/>
      <c r="O437" s="559">
        <v>600</v>
      </c>
      <c r="P437" s="559"/>
      <c r="Q437" s="560">
        <f t="shared" si="19"/>
        <v>49550.927532000002</v>
      </c>
      <c r="R437" s="500" t="str">
        <f t="shared" si="20"/>
        <v/>
      </c>
    </row>
    <row r="438" spans="2:18" hidden="1">
      <c r="B438" s="84">
        <v>428</v>
      </c>
      <c r="C438" s="561"/>
      <c r="D438" s="718">
        <f t="shared" si="18"/>
        <v>38</v>
      </c>
      <c r="E438" s="692">
        <v>45189</v>
      </c>
      <c r="F438" s="556"/>
      <c r="G438" s="556"/>
      <c r="H438" s="556"/>
      <c r="I438" s="557"/>
      <c r="J438" s="556" t="s">
        <v>81</v>
      </c>
      <c r="K438" s="556" t="s">
        <v>162</v>
      </c>
      <c r="L438" s="556" t="s">
        <v>163</v>
      </c>
      <c r="M438" s="558">
        <v>17000</v>
      </c>
      <c r="N438" s="558"/>
      <c r="O438" s="559">
        <f>(169+110+220+208)/1000</f>
        <v>0.70699999999999996</v>
      </c>
      <c r="P438" s="559"/>
      <c r="Q438" s="560">
        <f t="shared" si="19"/>
        <v>12019</v>
      </c>
      <c r="R438" s="500" t="str">
        <f t="shared" si="20"/>
        <v/>
      </c>
    </row>
    <row r="439" spans="2:18" hidden="1">
      <c r="B439" s="84">
        <v>429</v>
      </c>
      <c r="C439" s="561" t="s">
        <v>557</v>
      </c>
      <c r="D439" s="718">
        <f t="shared" si="18"/>
        <v>38</v>
      </c>
      <c r="E439" s="692">
        <v>45190</v>
      </c>
      <c r="F439" s="556"/>
      <c r="G439" s="556"/>
      <c r="H439" s="556"/>
      <c r="I439" s="557"/>
      <c r="J439" s="556" t="s">
        <v>74</v>
      </c>
      <c r="K439" s="556" t="s">
        <v>87</v>
      </c>
      <c r="L439" s="556" t="s">
        <v>91</v>
      </c>
      <c r="M439" s="558"/>
      <c r="N439" s="558">
        <v>1.2</v>
      </c>
      <c r="O439" s="559"/>
      <c r="P439" s="559">
        <f>10000+300</f>
        <v>10300</v>
      </c>
      <c r="Q439" s="560" t="str">
        <f t="shared" si="19"/>
        <v/>
      </c>
      <c r="R439" s="500">
        <f t="shared" si="20"/>
        <v>12360</v>
      </c>
    </row>
    <row r="440" spans="2:18" hidden="1">
      <c r="B440" s="84">
        <v>430</v>
      </c>
      <c r="C440" s="561" t="s">
        <v>559</v>
      </c>
      <c r="D440" s="718">
        <f t="shared" si="18"/>
        <v>38</v>
      </c>
      <c r="E440" s="692">
        <v>45191</v>
      </c>
      <c r="F440" s="556" t="s">
        <v>112</v>
      </c>
      <c r="G440" s="556" t="s">
        <v>114</v>
      </c>
      <c r="H440" s="556" t="s">
        <v>114</v>
      </c>
      <c r="I440" s="85" t="s">
        <v>628</v>
      </c>
      <c r="J440" s="556" t="s">
        <v>74</v>
      </c>
      <c r="K440" s="556" t="s">
        <v>652</v>
      </c>
      <c r="L440" s="556" t="s">
        <v>185</v>
      </c>
      <c r="M440" s="558"/>
      <c r="N440" s="558">
        <v>299</v>
      </c>
      <c r="O440" s="559"/>
      <c r="P440" s="559">
        <f>200+200+200</f>
        <v>600</v>
      </c>
      <c r="Q440" s="560" t="str">
        <f t="shared" si="19"/>
        <v/>
      </c>
      <c r="R440" s="500">
        <f t="shared" si="20"/>
        <v>179400</v>
      </c>
    </row>
    <row r="441" spans="2:18" hidden="1">
      <c r="B441" s="84">
        <v>431</v>
      </c>
      <c r="C441" s="561"/>
      <c r="D441" s="718">
        <f t="shared" si="18"/>
        <v>38</v>
      </c>
      <c r="E441" s="692">
        <v>45192</v>
      </c>
      <c r="F441" s="556"/>
      <c r="G441" s="556"/>
      <c r="H441" s="556"/>
      <c r="I441" s="557"/>
      <c r="J441" s="556" t="s">
        <v>74</v>
      </c>
      <c r="K441" s="556" t="s">
        <v>162</v>
      </c>
      <c r="L441" s="556" t="s">
        <v>163</v>
      </c>
      <c r="M441" s="558"/>
      <c r="N441" s="558">
        <v>25000</v>
      </c>
      <c r="O441" s="559"/>
      <c r="P441" s="559">
        <f>(300+350)/1000</f>
        <v>0.65</v>
      </c>
      <c r="Q441" s="560" t="str">
        <f t="shared" si="19"/>
        <v/>
      </c>
      <c r="R441" s="500">
        <f t="shared" si="20"/>
        <v>16250</v>
      </c>
    </row>
    <row r="442" spans="2:18" hidden="1">
      <c r="B442" s="84">
        <v>432</v>
      </c>
      <c r="C442" s="568" t="s">
        <v>560</v>
      </c>
      <c r="D442" s="718">
        <f t="shared" si="18"/>
        <v>39</v>
      </c>
      <c r="E442" s="693">
        <v>45194</v>
      </c>
      <c r="F442" s="562" t="s">
        <v>93</v>
      </c>
      <c r="G442" s="562" t="s">
        <v>8</v>
      </c>
      <c r="H442" s="562"/>
      <c r="I442" s="563"/>
      <c r="J442" s="562" t="s">
        <v>74</v>
      </c>
      <c r="K442" s="562" t="s">
        <v>85</v>
      </c>
      <c r="L442" s="562" t="s">
        <v>91</v>
      </c>
      <c r="M442" s="564"/>
      <c r="N442" s="564">
        <v>2</v>
      </c>
      <c r="O442" s="565"/>
      <c r="P442" s="565">
        <f>11380+10350+10840</f>
        <v>32570</v>
      </c>
      <c r="Q442" s="566" t="str">
        <f t="shared" si="19"/>
        <v/>
      </c>
      <c r="R442" s="500">
        <f t="shared" si="20"/>
        <v>65140</v>
      </c>
    </row>
    <row r="443" spans="2:18" hidden="1">
      <c r="B443" s="84">
        <v>433</v>
      </c>
      <c r="C443" s="568"/>
      <c r="D443" s="718">
        <f t="shared" si="18"/>
        <v>39</v>
      </c>
      <c r="E443" s="693">
        <v>45195</v>
      </c>
      <c r="F443" s="562"/>
      <c r="G443" s="562"/>
      <c r="H443" s="562"/>
      <c r="I443" s="563"/>
      <c r="J443" s="562" t="s">
        <v>74</v>
      </c>
      <c r="K443" s="562" t="s">
        <v>164</v>
      </c>
      <c r="L443" s="562" t="s">
        <v>165</v>
      </c>
      <c r="M443" s="564"/>
      <c r="N443" s="564"/>
      <c r="O443" s="565"/>
      <c r="P443" s="567">
        <v>3.5</v>
      </c>
      <c r="Q443" s="499" t="str">
        <f t="shared" si="19"/>
        <v/>
      </c>
      <c r="R443" s="500" t="str">
        <f t="shared" si="20"/>
        <v/>
      </c>
    </row>
    <row r="444" spans="2:18" hidden="1">
      <c r="B444" s="84">
        <v>434</v>
      </c>
      <c r="C444" s="568"/>
      <c r="D444" s="718">
        <f t="shared" si="18"/>
        <v>39</v>
      </c>
      <c r="E444" s="693">
        <v>45196</v>
      </c>
      <c r="F444" s="562"/>
      <c r="G444" s="562"/>
      <c r="H444" s="562"/>
      <c r="I444" s="563"/>
      <c r="J444" s="562" t="s">
        <v>81</v>
      </c>
      <c r="K444" s="562" t="s">
        <v>652</v>
      </c>
      <c r="L444" s="562" t="s">
        <v>185</v>
      </c>
      <c r="M444" s="564">
        <v>247.18544827008316</v>
      </c>
      <c r="N444" s="564"/>
      <c r="O444" s="565">
        <v>400</v>
      </c>
      <c r="P444" s="565"/>
      <c r="Q444" s="566">
        <f t="shared" si="19"/>
        <v>98874.179308033257</v>
      </c>
      <c r="R444" s="500" t="str">
        <f t="shared" si="20"/>
        <v/>
      </c>
    </row>
    <row r="445" spans="2:18" hidden="1">
      <c r="B445" s="84">
        <v>435</v>
      </c>
      <c r="C445" s="568"/>
      <c r="D445" s="718">
        <f t="shared" si="18"/>
        <v>39</v>
      </c>
      <c r="E445" s="693">
        <v>45196</v>
      </c>
      <c r="F445" s="562"/>
      <c r="G445" s="562"/>
      <c r="H445" s="562"/>
      <c r="I445" s="563"/>
      <c r="J445" s="562" t="s">
        <v>81</v>
      </c>
      <c r="K445" s="562" t="s">
        <v>162</v>
      </c>
      <c r="L445" s="562" t="s">
        <v>163</v>
      </c>
      <c r="M445" s="564">
        <v>17000</v>
      </c>
      <c r="N445" s="564"/>
      <c r="O445" s="565">
        <f>(305+231+300+135)/1000</f>
        <v>0.97099999999999997</v>
      </c>
      <c r="P445" s="565"/>
      <c r="Q445" s="566">
        <f t="shared" si="19"/>
        <v>16507</v>
      </c>
      <c r="R445" s="500" t="str">
        <f t="shared" si="20"/>
        <v/>
      </c>
    </row>
    <row r="446" spans="2:18" hidden="1">
      <c r="B446" s="84">
        <v>436</v>
      </c>
      <c r="C446" s="568"/>
      <c r="D446" s="718">
        <f t="shared" si="18"/>
        <v>39</v>
      </c>
      <c r="E446" s="693">
        <v>45196</v>
      </c>
      <c r="F446" s="562" t="s">
        <v>277</v>
      </c>
      <c r="G446" s="562" t="s">
        <v>361</v>
      </c>
      <c r="H446" s="562" t="s">
        <v>283</v>
      </c>
      <c r="I446" s="563"/>
      <c r="J446" s="562" t="s">
        <v>74</v>
      </c>
      <c r="K446" s="562" t="s">
        <v>162</v>
      </c>
      <c r="L446" s="562" t="s">
        <v>163</v>
      </c>
      <c r="M446" s="564"/>
      <c r="N446" s="564"/>
      <c r="O446" s="565"/>
      <c r="P446" s="565">
        <f>(110/1000)</f>
        <v>0.11</v>
      </c>
      <c r="Q446" s="566" t="str">
        <f t="shared" si="19"/>
        <v/>
      </c>
      <c r="R446" s="500" t="str">
        <f t="shared" si="20"/>
        <v/>
      </c>
    </row>
    <row r="447" spans="2:18" hidden="1">
      <c r="B447" s="84">
        <v>437</v>
      </c>
      <c r="C447" s="574"/>
      <c r="D447" s="718">
        <f t="shared" si="18"/>
        <v>39</v>
      </c>
      <c r="E447" s="694">
        <v>45197</v>
      </c>
      <c r="F447" s="569"/>
      <c r="G447" s="569"/>
      <c r="H447" s="569"/>
      <c r="I447" s="570"/>
      <c r="J447" s="569" t="s">
        <v>74</v>
      </c>
      <c r="K447" s="569" t="s">
        <v>162</v>
      </c>
      <c r="L447" s="569" t="s">
        <v>163</v>
      </c>
      <c r="M447" s="571"/>
      <c r="N447" s="571">
        <v>25000</v>
      </c>
      <c r="O447" s="572"/>
      <c r="P447" s="572">
        <f>(200+300+350)/1000</f>
        <v>0.85</v>
      </c>
      <c r="Q447" s="573" t="str">
        <f t="shared" si="19"/>
        <v/>
      </c>
      <c r="R447" s="500">
        <f t="shared" si="20"/>
        <v>21250</v>
      </c>
    </row>
    <row r="448" spans="2:18" hidden="1">
      <c r="B448" s="84">
        <v>438</v>
      </c>
      <c r="C448" s="574" t="s">
        <v>561</v>
      </c>
      <c r="D448" s="718">
        <f t="shared" si="18"/>
        <v>39</v>
      </c>
      <c r="E448" s="694">
        <v>45198</v>
      </c>
      <c r="F448" s="569" t="s">
        <v>108</v>
      </c>
      <c r="G448" s="569" t="s">
        <v>98</v>
      </c>
      <c r="H448" s="569" t="s">
        <v>348</v>
      </c>
      <c r="I448" s="570"/>
      <c r="J448" s="569" t="s">
        <v>74</v>
      </c>
      <c r="K448" s="569" t="s">
        <v>87</v>
      </c>
      <c r="L448" s="569" t="s">
        <v>91</v>
      </c>
      <c r="M448" s="571"/>
      <c r="N448" s="571">
        <v>1.2</v>
      </c>
      <c r="O448" s="572"/>
      <c r="P448" s="572">
        <f>40+10000+60</f>
        <v>10100</v>
      </c>
      <c r="Q448" s="573" t="str">
        <f t="shared" si="19"/>
        <v/>
      </c>
      <c r="R448" s="500">
        <f t="shared" si="20"/>
        <v>12120</v>
      </c>
    </row>
    <row r="449" spans="2:18">
      <c r="B449" s="84">
        <v>439</v>
      </c>
      <c r="C449" s="574" t="s">
        <v>594</v>
      </c>
      <c r="D449" s="718">
        <f t="shared" si="18"/>
        <v>39</v>
      </c>
      <c r="E449" s="694">
        <v>45198</v>
      </c>
      <c r="F449" s="569" t="s">
        <v>113</v>
      </c>
      <c r="G449" s="569"/>
      <c r="H449" s="569"/>
      <c r="I449" s="570"/>
      <c r="J449" s="569" t="s">
        <v>74</v>
      </c>
      <c r="K449" s="569" t="s">
        <v>86</v>
      </c>
      <c r="L449" s="569" t="s">
        <v>91</v>
      </c>
      <c r="M449" s="571"/>
      <c r="N449" s="571"/>
      <c r="O449" s="572"/>
      <c r="P449" s="572">
        <v>800</v>
      </c>
      <c r="Q449" s="573" t="str">
        <f t="shared" si="19"/>
        <v/>
      </c>
      <c r="R449" s="500" t="str">
        <f t="shared" si="20"/>
        <v/>
      </c>
    </row>
    <row r="450" spans="2:18" hidden="1">
      <c r="B450" s="84">
        <v>440</v>
      </c>
      <c r="C450" s="574"/>
      <c r="D450" s="718">
        <f t="shared" si="18"/>
        <v>39</v>
      </c>
      <c r="E450" s="694">
        <v>45199</v>
      </c>
      <c r="F450" s="569"/>
      <c r="G450" s="569"/>
      <c r="H450" s="569"/>
      <c r="I450" s="570"/>
      <c r="J450" s="569" t="s">
        <v>81</v>
      </c>
      <c r="K450" s="569" t="s">
        <v>87</v>
      </c>
      <c r="L450" s="569" t="s">
        <v>91</v>
      </c>
      <c r="M450" s="571">
        <v>0.75</v>
      </c>
      <c r="N450" s="571"/>
      <c r="O450" s="572">
        <v>10000</v>
      </c>
      <c r="P450" s="572"/>
      <c r="Q450" s="573">
        <f t="shared" si="19"/>
        <v>7500</v>
      </c>
      <c r="R450" s="500" t="str">
        <f t="shared" si="20"/>
        <v/>
      </c>
    </row>
    <row r="451" spans="2:18" hidden="1">
      <c r="B451" s="84">
        <v>441</v>
      </c>
      <c r="C451" s="575"/>
      <c r="D451" s="718">
        <f t="shared" si="18"/>
        <v>40</v>
      </c>
      <c r="E451" s="695">
        <v>45201</v>
      </c>
      <c r="F451" s="576"/>
      <c r="G451" s="576"/>
      <c r="H451" s="576"/>
      <c r="I451" s="577"/>
      <c r="J451" s="576" t="s">
        <v>81</v>
      </c>
      <c r="K451" s="576" t="s">
        <v>85</v>
      </c>
      <c r="L451" s="576" t="s">
        <v>91</v>
      </c>
      <c r="M451" s="578">
        <v>1.25</v>
      </c>
      <c r="N451" s="578"/>
      <c r="O451" s="579">
        <v>30000</v>
      </c>
      <c r="P451" s="579"/>
      <c r="Q451" s="580">
        <f t="shared" si="19"/>
        <v>37500</v>
      </c>
      <c r="R451" s="500" t="str">
        <f t="shared" si="20"/>
        <v/>
      </c>
    </row>
    <row r="452" spans="2:18" hidden="1">
      <c r="B452" s="84">
        <v>442</v>
      </c>
      <c r="C452" s="575" t="s">
        <v>562</v>
      </c>
      <c r="D452" s="718">
        <f t="shared" si="18"/>
        <v>40</v>
      </c>
      <c r="E452" s="695">
        <v>45201</v>
      </c>
      <c r="F452" s="576" t="s">
        <v>93</v>
      </c>
      <c r="G452" s="576" t="s">
        <v>8</v>
      </c>
      <c r="H452" s="576"/>
      <c r="I452" s="577"/>
      <c r="J452" s="576" t="s">
        <v>74</v>
      </c>
      <c r="K452" s="576" t="s">
        <v>85</v>
      </c>
      <c r="L452" s="576" t="s">
        <v>91</v>
      </c>
      <c r="M452" s="578"/>
      <c r="N452" s="578">
        <v>2</v>
      </c>
      <c r="O452" s="579"/>
      <c r="P452" s="579">
        <f>11810+11050</f>
        <v>22860</v>
      </c>
      <c r="Q452" s="580" t="str">
        <f t="shared" si="19"/>
        <v/>
      </c>
      <c r="R452" s="500">
        <f t="shared" si="20"/>
        <v>45720</v>
      </c>
    </row>
    <row r="453" spans="2:18" hidden="1">
      <c r="B453" s="84">
        <v>443</v>
      </c>
      <c r="C453" s="575"/>
      <c r="D453" s="718">
        <f t="shared" si="18"/>
        <v>40</v>
      </c>
      <c r="E453" s="695">
        <v>45203</v>
      </c>
      <c r="F453" s="576"/>
      <c r="G453" s="576"/>
      <c r="H453" s="576"/>
      <c r="I453" s="577"/>
      <c r="J453" s="576" t="s">
        <v>81</v>
      </c>
      <c r="K453" s="576" t="s">
        <v>162</v>
      </c>
      <c r="L453" s="576" t="s">
        <v>163</v>
      </c>
      <c r="M453" s="578">
        <v>17000</v>
      </c>
      <c r="N453" s="578"/>
      <c r="O453" s="579">
        <f>(245+160+260+214)/1000</f>
        <v>0.879</v>
      </c>
      <c r="P453" s="579"/>
      <c r="Q453" s="580">
        <f t="shared" si="19"/>
        <v>14943</v>
      </c>
      <c r="R453" s="500" t="str">
        <f t="shared" si="20"/>
        <v/>
      </c>
    </row>
    <row r="454" spans="2:18" hidden="1">
      <c r="B454" s="84">
        <v>444</v>
      </c>
      <c r="C454" s="575"/>
      <c r="D454" s="718">
        <f t="shared" si="18"/>
        <v>40</v>
      </c>
      <c r="E454" s="695">
        <v>45204</v>
      </c>
      <c r="F454" s="576"/>
      <c r="G454" s="576"/>
      <c r="H454" s="576"/>
      <c r="I454" s="577"/>
      <c r="J454" s="576" t="s">
        <v>74</v>
      </c>
      <c r="K454" s="576" t="s">
        <v>162</v>
      </c>
      <c r="L454" s="576" t="s">
        <v>163</v>
      </c>
      <c r="M454" s="578"/>
      <c r="N454" s="578">
        <v>25000</v>
      </c>
      <c r="O454" s="579"/>
      <c r="P454" s="579">
        <f>(400+300+300)/1000</f>
        <v>1</v>
      </c>
      <c r="Q454" s="580" t="str">
        <f t="shared" si="19"/>
        <v/>
      </c>
      <c r="R454" s="500">
        <f t="shared" si="20"/>
        <v>25000</v>
      </c>
    </row>
    <row r="455" spans="2:18" hidden="1">
      <c r="B455" s="84">
        <v>445</v>
      </c>
      <c r="C455" s="575">
        <v>672</v>
      </c>
      <c r="D455" s="718">
        <f t="shared" si="18"/>
        <v>40</v>
      </c>
      <c r="E455" s="695">
        <v>45205</v>
      </c>
      <c r="F455" s="576" t="s">
        <v>112</v>
      </c>
      <c r="G455" s="576" t="s">
        <v>114</v>
      </c>
      <c r="H455" s="576" t="s">
        <v>114</v>
      </c>
      <c r="I455" s="85" t="s">
        <v>633</v>
      </c>
      <c r="J455" s="576" t="s">
        <v>74</v>
      </c>
      <c r="K455" s="576" t="s">
        <v>56</v>
      </c>
      <c r="L455" s="576" t="s">
        <v>91</v>
      </c>
      <c r="M455" s="578"/>
      <c r="N455" s="578">
        <v>40</v>
      </c>
      <c r="O455" s="579"/>
      <c r="P455" s="579">
        <v>1200</v>
      </c>
      <c r="Q455" s="580" t="str">
        <f t="shared" si="19"/>
        <v/>
      </c>
      <c r="R455" s="500">
        <f t="shared" si="20"/>
        <v>48000</v>
      </c>
    </row>
    <row r="456" spans="2:18" hidden="1">
      <c r="B456" s="84">
        <v>446</v>
      </c>
      <c r="C456" s="575">
        <v>674</v>
      </c>
      <c r="D456" s="718">
        <f t="shared" si="18"/>
        <v>40</v>
      </c>
      <c r="E456" s="695">
        <v>45205</v>
      </c>
      <c r="F456" s="576" t="s">
        <v>112</v>
      </c>
      <c r="G456" s="576" t="s">
        <v>114</v>
      </c>
      <c r="H456" s="576" t="s">
        <v>114</v>
      </c>
      <c r="I456" s="85" t="s">
        <v>620</v>
      </c>
      <c r="J456" s="576" t="s">
        <v>74</v>
      </c>
      <c r="K456" s="576" t="s">
        <v>161</v>
      </c>
      <c r="L456" s="576" t="s">
        <v>185</v>
      </c>
      <c r="M456" s="578"/>
      <c r="N456" s="578">
        <v>240</v>
      </c>
      <c r="O456" s="579"/>
      <c r="P456" s="579">
        <v>200</v>
      </c>
      <c r="Q456" s="580" t="str">
        <f t="shared" si="19"/>
        <v/>
      </c>
      <c r="R456" s="500">
        <f t="shared" si="20"/>
        <v>48000</v>
      </c>
    </row>
    <row r="457" spans="2:18" hidden="1">
      <c r="B457" s="84">
        <v>447</v>
      </c>
      <c r="C457" s="575">
        <v>673</v>
      </c>
      <c r="D457" s="718">
        <f t="shared" si="18"/>
        <v>40</v>
      </c>
      <c r="E457" s="695">
        <v>45205</v>
      </c>
      <c r="F457" s="576" t="s">
        <v>112</v>
      </c>
      <c r="G457" s="576" t="s">
        <v>114</v>
      </c>
      <c r="H457" s="576" t="s">
        <v>114</v>
      </c>
      <c r="I457" s="85" t="s">
        <v>629</v>
      </c>
      <c r="J457" s="576" t="s">
        <v>74</v>
      </c>
      <c r="K457" s="576" t="s">
        <v>652</v>
      </c>
      <c r="L457" s="576" t="s">
        <v>185</v>
      </c>
      <c r="M457" s="578"/>
      <c r="N457" s="578">
        <v>299</v>
      </c>
      <c r="O457" s="579"/>
      <c r="P457" s="579">
        <v>400</v>
      </c>
      <c r="Q457" s="580" t="str">
        <f t="shared" si="19"/>
        <v/>
      </c>
      <c r="R457" s="500">
        <f t="shared" si="20"/>
        <v>119600</v>
      </c>
    </row>
    <row r="458" spans="2:18" hidden="1">
      <c r="B458" s="84">
        <v>448</v>
      </c>
      <c r="C458" s="575"/>
      <c r="D458" s="718">
        <f t="shared" si="18"/>
        <v>40</v>
      </c>
      <c r="E458" s="695">
        <v>45205</v>
      </c>
      <c r="F458" s="576"/>
      <c r="G458" s="576"/>
      <c r="H458" s="576"/>
      <c r="I458" s="577"/>
      <c r="J458" s="576" t="s">
        <v>81</v>
      </c>
      <c r="K458" s="576" t="s">
        <v>161</v>
      </c>
      <c r="L458" s="576" t="s">
        <v>185</v>
      </c>
      <c r="M458" s="578">
        <v>199.92359142534642</v>
      </c>
      <c r="N458" s="578"/>
      <c r="O458" s="579">
        <v>200</v>
      </c>
      <c r="P458" s="579"/>
      <c r="Q458" s="580">
        <f t="shared" si="19"/>
        <v>39984.718285069284</v>
      </c>
      <c r="R458" s="500" t="str">
        <f t="shared" si="20"/>
        <v/>
      </c>
    </row>
    <row r="459" spans="2:18" hidden="1">
      <c r="B459" s="84">
        <v>449</v>
      </c>
      <c r="C459" s="586">
        <v>675</v>
      </c>
      <c r="D459" s="718">
        <f t="shared" ref="D459:D522" si="21">WEEKNUM(E459,21)</f>
        <v>40</v>
      </c>
      <c r="E459" s="696">
        <v>45205</v>
      </c>
      <c r="F459" s="581" t="s">
        <v>112</v>
      </c>
      <c r="G459" s="581" t="s">
        <v>114</v>
      </c>
      <c r="H459" s="581" t="s">
        <v>114</v>
      </c>
      <c r="I459" s="582"/>
      <c r="J459" s="581" t="s">
        <v>74</v>
      </c>
      <c r="K459" s="581" t="s">
        <v>461</v>
      </c>
      <c r="L459" s="581" t="s">
        <v>185</v>
      </c>
      <c r="M459" s="583"/>
      <c r="N459" s="583"/>
      <c r="O459" s="584"/>
      <c r="P459" s="584">
        <v>120</v>
      </c>
      <c r="Q459" s="585" t="str">
        <f t="shared" ref="Q459:Q522" si="22">IF((M459*O459)&lt;=0,"",(M459*O459))</f>
        <v/>
      </c>
      <c r="R459" s="500" t="str">
        <f t="shared" ref="R459:R522" si="23">IF((N459*P459)&lt;=0,"",(N459*P459))</f>
        <v/>
      </c>
    </row>
    <row r="460" spans="2:18" hidden="1">
      <c r="B460" s="84">
        <v>450</v>
      </c>
      <c r="C460" s="586"/>
      <c r="D460" s="718">
        <f t="shared" si="21"/>
        <v>40</v>
      </c>
      <c r="E460" s="696">
        <v>45205</v>
      </c>
      <c r="F460" s="581"/>
      <c r="G460" s="581"/>
      <c r="H460" s="581"/>
      <c r="I460" s="582"/>
      <c r="J460" s="581" t="s">
        <v>74</v>
      </c>
      <c r="K460" s="581" t="s">
        <v>164</v>
      </c>
      <c r="L460" s="581" t="s">
        <v>165</v>
      </c>
      <c r="M460" s="583"/>
      <c r="N460" s="1025"/>
      <c r="O460" s="584"/>
      <c r="P460" s="584">
        <v>14</v>
      </c>
      <c r="Q460" s="585" t="str">
        <f t="shared" si="22"/>
        <v/>
      </c>
      <c r="R460" s="500" t="str">
        <f t="shared" si="23"/>
        <v/>
      </c>
    </row>
    <row r="461" spans="2:18" hidden="1">
      <c r="B461" s="84">
        <v>451</v>
      </c>
      <c r="C461" s="586"/>
      <c r="D461" s="718">
        <f t="shared" si="21"/>
        <v>40</v>
      </c>
      <c r="E461" s="696">
        <v>45206</v>
      </c>
      <c r="F461" s="581"/>
      <c r="G461" s="581"/>
      <c r="H461" s="581"/>
      <c r="I461" s="582"/>
      <c r="J461" s="581" t="s">
        <v>81</v>
      </c>
      <c r="K461" s="581" t="s">
        <v>87</v>
      </c>
      <c r="L461" s="581" t="s">
        <v>91</v>
      </c>
      <c r="M461" s="583">
        <v>0.75</v>
      </c>
      <c r="N461" s="583"/>
      <c r="O461" s="584">
        <v>10000</v>
      </c>
      <c r="P461" s="584"/>
      <c r="Q461" s="585">
        <f t="shared" si="22"/>
        <v>7500</v>
      </c>
      <c r="R461" s="500" t="str">
        <f t="shared" si="23"/>
        <v/>
      </c>
    </row>
    <row r="462" spans="2:18" hidden="1">
      <c r="B462" s="84">
        <v>452</v>
      </c>
      <c r="C462" s="586"/>
      <c r="D462" s="718">
        <f t="shared" si="21"/>
        <v>41</v>
      </c>
      <c r="E462" s="696">
        <v>45208</v>
      </c>
      <c r="F462" s="581"/>
      <c r="G462" s="581"/>
      <c r="H462" s="581"/>
      <c r="I462" s="582"/>
      <c r="J462" s="581" t="s">
        <v>81</v>
      </c>
      <c r="K462" s="581" t="s">
        <v>161</v>
      </c>
      <c r="L462" s="581" t="s">
        <v>185</v>
      </c>
      <c r="M462" s="583">
        <v>199.92359142534642</v>
      </c>
      <c r="N462" s="583"/>
      <c r="O462" s="584">
        <v>400</v>
      </c>
      <c r="P462" s="584"/>
      <c r="Q462" s="585">
        <f t="shared" si="22"/>
        <v>79969.436570138569</v>
      </c>
      <c r="R462" s="500" t="str">
        <f t="shared" si="23"/>
        <v/>
      </c>
    </row>
    <row r="463" spans="2:18" hidden="1">
      <c r="B463" s="84">
        <v>453</v>
      </c>
      <c r="C463" s="586"/>
      <c r="D463" s="718">
        <f t="shared" si="21"/>
        <v>41</v>
      </c>
      <c r="E463" s="696">
        <v>45209</v>
      </c>
      <c r="F463" s="581"/>
      <c r="G463" s="581"/>
      <c r="H463" s="581"/>
      <c r="I463" s="582"/>
      <c r="J463" s="581" t="s">
        <v>81</v>
      </c>
      <c r="K463" s="581" t="s">
        <v>652</v>
      </c>
      <c r="L463" s="581" t="s">
        <v>185</v>
      </c>
      <c r="M463" s="583">
        <v>247.18544827008316</v>
      </c>
      <c r="N463" s="583"/>
      <c r="O463" s="584">
        <v>600</v>
      </c>
      <c r="P463" s="584"/>
      <c r="Q463" s="585">
        <f t="shared" si="22"/>
        <v>148311.26896204989</v>
      </c>
      <c r="R463" s="500" t="str">
        <f t="shared" si="23"/>
        <v/>
      </c>
    </row>
    <row r="464" spans="2:18" hidden="1">
      <c r="B464" s="84">
        <v>454</v>
      </c>
      <c r="C464" s="586"/>
      <c r="D464" s="718">
        <f t="shared" si="21"/>
        <v>41</v>
      </c>
      <c r="E464" s="696">
        <v>45210</v>
      </c>
      <c r="F464" s="581"/>
      <c r="G464" s="581"/>
      <c r="H464" s="581"/>
      <c r="I464" s="582"/>
      <c r="J464" s="581" t="s">
        <v>74</v>
      </c>
      <c r="K464" s="581" t="s">
        <v>164</v>
      </c>
      <c r="L464" s="581" t="s">
        <v>165</v>
      </c>
      <c r="M464" s="583"/>
      <c r="N464" s="1025"/>
      <c r="O464" s="584"/>
      <c r="P464" s="584">
        <f>22+30</f>
        <v>52</v>
      </c>
      <c r="Q464" s="585" t="str">
        <f t="shared" si="22"/>
        <v/>
      </c>
      <c r="R464" s="500" t="str">
        <f t="shared" si="23"/>
        <v/>
      </c>
    </row>
    <row r="465" spans="2:18" hidden="1">
      <c r="B465" s="84">
        <v>455</v>
      </c>
      <c r="C465" s="586">
        <v>678</v>
      </c>
      <c r="D465" s="718">
        <f t="shared" si="21"/>
        <v>41</v>
      </c>
      <c r="E465" s="696">
        <v>45210</v>
      </c>
      <c r="F465" s="581" t="s">
        <v>111</v>
      </c>
      <c r="G465" s="581" t="s">
        <v>426</v>
      </c>
      <c r="H465" s="581" t="s">
        <v>426</v>
      </c>
      <c r="I465" s="326" t="s">
        <v>617</v>
      </c>
      <c r="J465" s="581" t="s">
        <v>74</v>
      </c>
      <c r="K465" s="581" t="s">
        <v>56</v>
      </c>
      <c r="L465" s="581" t="s">
        <v>91</v>
      </c>
      <c r="M465" s="583"/>
      <c r="N465" s="583">
        <v>40</v>
      </c>
      <c r="O465" s="584"/>
      <c r="P465" s="584">
        <v>20</v>
      </c>
      <c r="Q465" s="585" t="str">
        <f t="shared" si="22"/>
        <v/>
      </c>
      <c r="R465" s="500">
        <f t="shared" si="23"/>
        <v>800</v>
      </c>
    </row>
    <row r="466" spans="2:18" hidden="1">
      <c r="B466" s="84">
        <v>456</v>
      </c>
      <c r="C466" s="586"/>
      <c r="D466" s="718">
        <f t="shared" si="21"/>
        <v>41</v>
      </c>
      <c r="E466" s="696">
        <v>45210</v>
      </c>
      <c r="F466" s="581"/>
      <c r="G466" s="581"/>
      <c r="H466" s="581"/>
      <c r="I466" s="582"/>
      <c r="J466" s="581" t="s">
        <v>81</v>
      </c>
      <c r="K466" s="581" t="s">
        <v>162</v>
      </c>
      <c r="L466" s="581" t="s">
        <v>163</v>
      </c>
      <c r="M466" s="583">
        <v>17000</v>
      </c>
      <c r="N466" s="583"/>
      <c r="O466" s="584">
        <f>(343+286+355+132)/1000</f>
        <v>1.1160000000000001</v>
      </c>
      <c r="P466" s="584"/>
      <c r="Q466" s="585">
        <f t="shared" si="22"/>
        <v>18972</v>
      </c>
      <c r="R466" s="500" t="str">
        <f t="shared" si="23"/>
        <v/>
      </c>
    </row>
    <row r="467" spans="2:18" hidden="1">
      <c r="B467" s="84">
        <v>457</v>
      </c>
      <c r="C467" s="586"/>
      <c r="D467" s="718">
        <f t="shared" si="21"/>
        <v>41</v>
      </c>
      <c r="E467" s="696">
        <v>45210</v>
      </c>
      <c r="F467" s="581" t="s">
        <v>277</v>
      </c>
      <c r="G467" s="581" t="s">
        <v>361</v>
      </c>
      <c r="H467" s="581" t="s">
        <v>283</v>
      </c>
      <c r="I467" s="582"/>
      <c r="J467" s="581" t="s">
        <v>74</v>
      </c>
      <c r="K467" s="581" t="s">
        <v>162</v>
      </c>
      <c r="L467" s="581" t="s">
        <v>163</v>
      </c>
      <c r="M467" s="583"/>
      <c r="N467" s="583"/>
      <c r="O467" s="584"/>
      <c r="P467" s="584">
        <f>(110/1000)</f>
        <v>0.11</v>
      </c>
      <c r="Q467" s="585" t="str">
        <f t="shared" si="22"/>
        <v/>
      </c>
      <c r="R467" s="500" t="str">
        <f t="shared" si="23"/>
        <v/>
      </c>
    </row>
    <row r="468" spans="2:18" hidden="1">
      <c r="B468" s="84">
        <v>458</v>
      </c>
      <c r="C468" s="586" t="s">
        <v>563</v>
      </c>
      <c r="D468" s="718">
        <f t="shared" si="21"/>
        <v>41</v>
      </c>
      <c r="E468" s="696">
        <v>45211</v>
      </c>
      <c r="F468" s="581"/>
      <c r="G468" s="581"/>
      <c r="H468" s="581"/>
      <c r="I468" s="582"/>
      <c r="J468" s="581" t="s">
        <v>74</v>
      </c>
      <c r="K468" s="581" t="s">
        <v>87</v>
      </c>
      <c r="L468" s="581" t="s">
        <v>91</v>
      </c>
      <c r="M468" s="583"/>
      <c r="N468" s="583"/>
      <c r="O468" s="584"/>
      <c r="P468" s="584">
        <v>80</v>
      </c>
      <c r="Q468" s="585" t="str">
        <f t="shared" si="22"/>
        <v/>
      </c>
      <c r="R468" s="500" t="str">
        <f t="shared" si="23"/>
        <v/>
      </c>
    </row>
    <row r="469" spans="2:18" hidden="1">
      <c r="B469" s="84">
        <v>459</v>
      </c>
      <c r="C469" s="586"/>
      <c r="D469" s="718">
        <f t="shared" si="21"/>
        <v>41</v>
      </c>
      <c r="E469" s="696">
        <v>45211</v>
      </c>
      <c r="F469" s="581"/>
      <c r="G469" s="581"/>
      <c r="H469" s="581"/>
      <c r="I469" s="582"/>
      <c r="J469" s="581" t="s">
        <v>74</v>
      </c>
      <c r="K469" s="581" t="s">
        <v>162</v>
      </c>
      <c r="L469" s="581" t="s">
        <v>163</v>
      </c>
      <c r="M469" s="583"/>
      <c r="N469" s="583">
        <v>25000</v>
      </c>
      <c r="O469" s="584"/>
      <c r="P469" s="565">
        <f>(400+300+300)/1000</f>
        <v>1</v>
      </c>
      <c r="Q469" s="585" t="str">
        <f t="shared" si="22"/>
        <v/>
      </c>
      <c r="R469" s="500">
        <f t="shared" si="23"/>
        <v>25000</v>
      </c>
    </row>
    <row r="470" spans="2:18" hidden="1">
      <c r="B470" s="84">
        <v>460</v>
      </c>
      <c r="C470" s="586">
        <v>677</v>
      </c>
      <c r="D470" s="718">
        <f t="shared" si="21"/>
        <v>41</v>
      </c>
      <c r="E470" s="696">
        <v>45212</v>
      </c>
      <c r="F470" s="581" t="s">
        <v>112</v>
      </c>
      <c r="G470" s="581" t="s">
        <v>114</v>
      </c>
      <c r="H470" s="581" t="s">
        <v>114</v>
      </c>
      <c r="I470" s="85" t="s">
        <v>621</v>
      </c>
      <c r="J470" s="581" t="s">
        <v>74</v>
      </c>
      <c r="K470" s="581" t="s">
        <v>161</v>
      </c>
      <c r="L470" s="581" t="s">
        <v>185</v>
      </c>
      <c r="M470" s="583"/>
      <c r="N470" s="583">
        <v>240</v>
      </c>
      <c r="O470" s="584"/>
      <c r="P470" s="584">
        <v>400</v>
      </c>
      <c r="Q470" s="585" t="str">
        <f t="shared" si="22"/>
        <v/>
      </c>
      <c r="R470" s="500">
        <f t="shared" si="23"/>
        <v>96000</v>
      </c>
    </row>
    <row r="471" spans="2:18" hidden="1">
      <c r="B471" s="84">
        <v>461</v>
      </c>
      <c r="C471" s="1271">
        <v>676</v>
      </c>
      <c r="D471" s="718">
        <f t="shared" si="21"/>
        <v>41</v>
      </c>
      <c r="E471" s="697">
        <v>45212</v>
      </c>
      <c r="F471" s="587" t="s">
        <v>112</v>
      </c>
      <c r="G471" s="587" t="s">
        <v>114</v>
      </c>
      <c r="H471" s="587" t="s">
        <v>114</v>
      </c>
      <c r="I471" s="85" t="s">
        <v>630</v>
      </c>
      <c r="J471" s="587" t="s">
        <v>74</v>
      </c>
      <c r="K471" s="587" t="s">
        <v>652</v>
      </c>
      <c r="L471" s="587" t="s">
        <v>185</v>
      </c>
      <c r="M471" s="588"/>
      <c r="N471" s="588">
        <v>299</v>
      </c>
      <c r="O471" s="589"/>
      <c r="P471" s="589">
        <v>400</v>
      </c>
      <c r="Q471" s="590" t="str">
        <f t="shared" si="22"/>
        <v/>
      </c>
      <c r="R471" s="500">
        <f t="shared" si="23"/>
        <v>119600</v>
      </c>
    </row>
    <row r="472" spans="2:18" hidden="1">
      <c r="B472" s="84">
        <v>462</v>
      </c>
      <c r="C472" s="1271"/>
      <c r="D472" s="718">
        <f t="shared" si="21"/>
        <v>42</v>
      </c>
      <c r="E472" s="697">
        <v>45217</v>
      </c>
      <c r="F472" s="587"/>
      <c r="G472" s="587"/>
      <c r="H472" s="587"/>
      <c r="I472" s="591"/>
      <c r="J472" s="587" t="s">
        <v>74</v>
      </c>
      <c r="K472" s="587" t="s">
        <v>164</v>
      </c>
      <c r="L472" s="587" t="s">
        <v>165</v>
      </c>
      <c r="M472" s="588"/>
      <c r="N472" s="588">
        <v>82.5</v>
      </c>
      <c r="O472" s="589"/>
      <c r="P472" s="589">
        <f>20+30</f>
        <v>50</v>
      </c>
      <c r="Q472" s="590" t="str">
        <f t="shared" si="22"/>
        <v/>
      </c>
      <c r="R472" s="500">
        <f t="shared" si="23"/>
        <v>4125</v>
      </c>
    </row>
    <row r="473" spans="2:18" hidden="1">
      <c r="B473" s="84">
        <v>463</v>
      </c>
      <c r="C473" s="1271"/>
      <c r="D473" s="718">
        <f t="shared" si="21"/>
        <v>42</v>
      </c>
      <c r="E473" s="697">
        <v>45218</v>
      </c>
      <c r="F473" s="587"/>
      <c r="G473" s="587"/>
      <c r="H473" s="587"/>
      <c r="I473" s="591"/>
      <c r="J473" s="587" t="s">
        <v>74</v>
      </c>
      <c r="K473" s="587" t="s">
        <v>164</v>
      </c>
      <c r="L473" s="587" t="s">
        <v>165</v>
      </c>
      <c r="M473" s="588"/>
      <c r="N473" s="588">
        <v>82.5</v>
      </c>
      <c r="O473" s="589"/>
      <c r="P473" s="589">
        <f>20+60+35</f>
        <v>115</v>
      </c>
      <c r="Q473" s="590" t="str">
        <f t="shared" si="22"/>
        <v/>
      </c>
      <c r="R473" s="500">
        <f t="shared" si="23"/>
        <v>9487.5</v>
      </c>
    </row>
    <row r="474" spans="2:18" hidden="1">
      <c r="B474" s="84">
        <v>464</v>
      </c>
      <c r="C474" s="1271"/>
      <c r="D474" s="718">
        <f t="shared" si="21"/>
        <v>42</v>
      </c>
      <c r="E474" s="697">
        <v>45218</v>
      </c>
      <c r="F474" s="587"/>
      <c r="G474" s="587"/>
      <c r="H474" s="587"/>
      <c r="I474" s="591"/>
      <c r="J474" s="587" t="s">
        <v>74</v>
      </c>
      <c r="K474" s="587" t="s">
        <v>162</v>
      </c>
      <c r="L474" s="587" t="s">
        <v>163</v>
      </c>
      <c r="M474" s="588"/>
      <c r="N474" s="588">
        <v>25000</v>
      </c>
      <c r="O474" s="589"/>
      <c r="P474" s="589">
        <f>(180+150+350+350)/1000</f>
        <v>1.03</v>
      </c>
      <c r="Q474" s="590" t="str">
        <f t="shared" si="22"/>
        <v/>
      </c>
      <c r="R474" s="500">
        <f t="shared" si="23"/>
        <v>25750</v>
      </c>
    </row>
    <row r="475" spans="2:18" hidden="1">
      <c r="B475" s="84">
        <v>465</v>
      </c>
      <c r="C475" s="592"/>
      <c r="D475" s="718">
        <f t="shared" si="21"/>
        <v>42</v>
      </c>
      <c r="E475" s="698">
        <v>45219</v>
      </c>
      <c r="F475" s="593"/>
      <c r="G475" s="593"/>
      <c r="H475" s="593"/>
      <c r="I475" s="594"/>
      <c r="J475" s="593" t="s">
        <v>81</v>
      </c>
      <c r="K475" s="593" t="s">
        <v>162</v>
      </c>
      <c r="L475" s="593" t="s">
        <v>163</v>
      </c>
      <c r="M475" s="595">
        <v>17000</v>
      </c>
      <c r="N475" s="595"/>
      <c r="O475" s="596">
        <f>(208+125+235+202)/1000</f>
        <v>0.77</v>
      </c>
      <c r="P475" s="596"/>
      <c r="Q475" s="597">
        <f t="shared" si="22"/>
        <v>13090</v>
      </c>
      <c r="R475" s="500" t="str">
        <f t="shared" si="23"/>
        <v/>
      </c>
    </row>
    <row r="476" spans="2:18" hidden="1">
      <c r="B476" s="84">
        <v>466</v>
      </c>
      <c r="C476" s="592"/>
      <c r="D476" s="718">
        <f t="shared" si="21"/>
        <v>43</v>
      </c>
      <c r="E476" s="698">
        <v>45223</v>
      </c>
      <c r="F476" s="593"/>
      <c r="G476" s="593"/>
      <c r="H476" s="593"/>
      <c r="I476" s="594"/>
      <c r="J476" s="593" t="s">
        <v>74</v>
      </c>
      <c r="K476" s="593" t="s">
        <v>164</v>
      </c>
      <c r="L476" s="593" t="s">
        <v>165</v>
      </c>
      <c r="M476" s="595"/>
      <c r="N476" s="595">
        <v>82.5</v>
      </c>
      <c r="O476" s="596"/>
      <c r="P476" s="596">
        <f>100+14.5+5+60</f>
        <v>179.5</v>
      </c>
      <c r="Q476" s="597" t="str">
        <f t="shared" si="22"/>
        <v/>
      </c>
      <c r="R476" s="500">
        <f t="shared" si="23"/>
        <v>14808.75</v>
      </c>
    </row>
    <row r="477" spans="2:18" hidden="1">
      <c r="B477" s="84">
        <v>467</v>
      </c>
      <c r="C477" s="592"/>
      <c r="D477" s="718">
        <f t="shared" si="21"/>
        <v>43</v>
      </c>
      <c r="E477" s="698">
        <v>45224</v>
      </c>
      <c r="F477" s="593"/>
      <c r="G477" s="593"/>
      <c r="H477" s="593"/>
      <c r="I477" s="594"/>
      <c r="J477" s="593" t="s">
        <v>81</v>
      </c>
      <c r="K477" s="593" t="s">
        <v>85</v>
      </c>
      <c r="L477" s="593" t="s">
        <v>91</v>
      </c>
      <c r="M477" s="595">
        <v>1.25</v>
      </c>
      <c r="N477" s="595"/>
      <c r="O477" s="596">
        <v>8000</v>
      </c>
      <c r="P477" s="596"/>
      <c r="Q477" s="597">
        <f t="shared" si="22"/>
        <v>10000</v>
      </c>
      <c r="R477" s="500" t="str">
        <f t="shared" si="23"/>
        <v/>
      </c>
    </row>
    <row r="478" spans="2:18" hidden="1">
      <c r="B478" s="84">
        <v>468</v>
      </c>
      <c r="C478" s="592" t="s">
        <v>585</v>
      </c>
      <c r="D478" s="718">
        <f t="shared" si="21"/>
        <v>43</v>
      </c>
      <c r="E478" s="698">
        <v>45224</v>
      </c>
      <c r="F478" s="593"/>
      <c r="G478" s="593"/>
      <c r="H478" s="593"/>
      <c r="I478" s="594"/>
      <c r="J478" s="593" t="s">
        <v>74</v>
      </c>
      <c r="K478" s="593" t="s">
        <v>87</v>
      </c>
      <c r="L478" s="593" t="s">
        <v>91</v>
      </c>
      <c r="M478" s="595"/>
      <c r="N478" s="595">
        <v>1.2</v>
      </c>
      <c r="O478" s="596"/>
      <c r="P478" s="596">
        <f>(800+5000+10000)</f>
        <v>15800</v>
      </c>
      <c r="Q478" s="597" t="str">
        <f t="shared" si="22"/>
        <v/>
      </c>
      <c r="R478" s="500">
        <f t="shared" si="23"/>
        <v>18960</v>
      </c>
    </row>
    <row r="479" spans="2:18" hidden="1">
      <c r="B479" s="84">
        <v>469</v>
      </c>
      <c r="C479" s="592"/>
      <c r="D479" s="718">
        <f t="shared" si="21"/>
        <v>43</v>
      </c>
      <c r="E479" s="698">
        <v>45224</v>
      </c>
      <c r="F479" s="593"/>
      <c r="G479" s="593"/>
      <c r="H479" s="593"/>
      <c r="I479" s="594"/>
      <c r="J479" s="593" t="s">
        <v>81</v>
      </c>
      <c r="K479" s="593" t="s">
        <v>86</v>
      </c>
      <c r="L479" s="593" t="s">
        <v>91</v>
      </c>
      <c r="M479" s="595">
        <v>2.2000000000000002</v>
      </c>
      <c r="N479" s="595"/>
      <c r="O479" s="596">
        <v>4000</v>
      </c>
      <c r="P479" s="596"/>
      <c r="Q479" s="597">
        <f t="shared" si="22"/>
        <v>8800</v>
      </c>
      <c r="R479" s="500" t="str">
        <f t="shared" si="23"/>
        <v/>
      </c>
    </row>
    <row r="480" spans="2:18" hidden="1">
      <c r="B480" s="84">
        <v>470</v>
      </c>
      <c r="C480" s="592"/>
      <c r="D480" s="718">
        <f t="shared" si="21"/>
        <v>43</v>
      </c>
      <c r="E480" s="698">
        <v>45224</v>
      </c>
      <c r="F480" s="593"/>
      <c r="G480" s="593"/>
      <c r="H480" s="593"/>
      <c r="I480" s="594"/>
      <c r="J480" s="593" t="s">
        <v>81</v>
      </c>
      <c r="K480" s="593" t="s">
        <v>162</v>
      </c>
      <c r="L480" s="593" t="s">
        <v>163</v>
      </c>
      <c r="M480" s="595">
        <v>17000</v>
      </c>
      <c r="N480" s="595"/>
      <c r="O480" s="596">
        <f>(303+314+374+168)/1000</f>
        <v>1.159</v>
      </c>
      <c r="P480" s="596"/>
      <c r="Q480" s="597">
        <f t="shared" si="22"/>
        <v>19703</v>
      </c>
      <c r="R480" s="500" t="str">
        <f t="shared" si="23"/>
        <v/>
      </c>
    </row>
    <row r="481" spans="2:18" hidden="1">
      <c r="B481" s="84">
        <v>471</v>
      </c>
      <c r="C481" s="592"/>
      <c r="D481" s="718">
        <f t="shared" si="21"/>
        <v>43</v>
      </c>
      <c r="E481" s="698">
        <v>45224</v>
      </c>
      <c r="F481" s="593" t="s">
        <v>277</v>
      </c>
      <c r="G481" s="593" t="s">
        <v>361</v>
      </c>
      <c r="H481" s="593" t="s">
        <v>283</v>
      </c>
      <c r="I481" s="594"/>
      <c r="J481" s="593" t="s">
        <v>74</v>
      </c>
      <c r="K481" s="593" t="s">
        <v>162</v>
      </c>
      <c r="L481" s="593" t="s">
        <v>163</v>
      </c>
      <c r="M481" s="595"/>
      <c r="N481" s="595"/>
      <c r="O481" s="596"/>
      <c r="P481" s="596">
        <f>(110/1000)</f>
        <v>0.11</v>
      </c>
      <c r="Q481" s="597" t="str">
        <f t="shared" si="22"/>
        <v/>
      </c>
      <c r="R481" s="500" t="str">
        <f t="shared" si="23"/>
        <v/>
      </c>
    </row>
    <row r="482" spans="2:18" hidden="1">
      <c r="B482" s="84">
        <v>472</v>
      </c>
      <c r="C482" s="592" t="s">
        <v>579</v>
      </c>
      <c r="D482" s="718">
        <f t="shared" si="21"/>
        <v>43</v>
      </c>
      <c r="E482" s="698">
        <v>45225</v>
      </c>
      <c r="F482" s="593"/>
      <c r="G482" s="593"/>
      <c r="H482" s="593"/>
      <c r="I482" s="594"/>
      <c r="J482" s="593" t="s">
        <v>74</v>
      </c>
      <c r="K482" s="593" t="s">
        <v>85</v>
      </c>
      <c r="L482" s="593" t="s">
        <v>91</v>
      </c>
      <c r="M482" s="595"/>
      <c r="N482" s="595">
        <v>2</v>
      </c>
      <c r="O482" s="596"/>
      <c r="P482" s="596">
        <v>11830</v>
      </c>
      <c r="Q482" s="597" t="str">
        <f t="shared" si="22"/>
        <v/>
      </c>
      <c r="R482" s="500">
        <f t="shared" si="23"/>
        <v>23660</v>
      </c>
    </row>
    <row r="483" spans="2:18">
      <c r="B483" s="84">
        <v>473</v>
      </c>
      <c r="C483" s="592" t="s">
        <v>595</v>
      </c>
      <c r="D483" s="718">
        <f t="shared" si="21"/>
        <v>43</v>
      </c>
      <c r="E483" s="698">
        <v>45225</v>
      </c>
      <c r="F483" s="593"/>
      <c r="G483" s="593"/>
      <c r="H483" s="593"/>
      <c r="I483" s="594"/>
      <c r="J483" s="593" t="s">
        <v>74</v>
      </c>
      <c r="K483" s="593" t="s">
        <v>86</v>
      </c>
      <c r="L483" s="593" t="s">
        <v>91</v>
      </c>
      <c r="M483" s="595"/>
      <c r="N483" s="595">
        <v>3.5</v>
      </c>
      <c r="O483" s="596"/>
      <c r="P483" s="584">
        <v>12320</v>
      </c>
      <c r="Q483" s="597" t="str">
        <f t="shared" si="22"/>
        <v/>
      </c>
      <c r="R483" s="500">
        <f t="shared" si="23"/>
        <v>43120</v>
      </c>
    </row>
    <row r="484" spans="2:18" hidden="1">
      <c r="B484" s="84">
        <v>474</v>
      </c>
      <c r="C484" s="592"/>
      <c r="D484" s="718">
        <f t="shared" si="21"/>
        <v>43</v>
      </c>
      <c r="E484" s="698">
        <v>45226</v>
      </c>
      <c r="F484" s="593"/>
      <c r="G484" s="593"/>
      <c r="H484" s="593"/>
      <c r="I484" s="594"/>
      <c r="J484" s="593" t="s">
        <v>81</v>
      </c>
      <c r="K484" s="593" t="s">
        <v>652</v>
      </c>
      <c r="L484" s="593" t="s">
        <v>185</v>
      </c>
      <c r="M484" s="595">
        <v>247.18544827008316</v>
      </c>
      <c r="N484" s="595"/>
      <c r="O484" s="596">
        <v>200</v>
      </c>
      <c r="P484" s="596"/>
      <c r="Q484" s="597">
        <f t="shared" si="22"/>
        <v>49437.089654016629</v>
      </c>
      <c r="R484" s="500" t="str">
        <f t="shared" si="23"/>
        <v/>
      </c>
    </row>
    <row r="485" spans="2:18" hidden="1">
      <c r="B485" s="84">
        <v>475</v>
      </c>
      <c r="C485" s="1272"/>
      <c r="D485" s="718">
        <f t="shared" si="21"/>
        <v>43</v>
      </c>
      <c r="E485" s="699">
        <v>45226</v>
      </c>
      <c r="F485" s="598"/>
      <c r="G485" s="598"/>
      <c r="H485" s="598"/>
      <c r="I485" s="599"/>
      <c r="J485" s="598" t="s">
        <v>74</v>
      </c>
      <c r="K485" s="598" t="s">
        <v>162</v>
      </c>
      <c r="L485" s="598" t="s">
        <v>163</v>
      </c>
      <c r="M485" s="600"/>
      <c r="N485" s="600">
        <v>25000</v>
      </c>
      <c r="O485" s="601"/>
      <c r="P485" s="468">
        <f>(250+300+300+350)/1000</f>
        <v>1.2</v>
      </c>
      <c r="Q485" s="602" t="str">
        <f t="shared" si="22"/>
        <v/>
      </c>
      <c r="R485" s="500">
        <f t="shared" si="23"/>
        <v>30000</v>
      </c>
    </row>
    <row r="486" spans="2:18" hidden="1">
      <c r="B486" s="84">
        <v>476</v>
      </c>
      <c r="C486" s="1272"/>
      <c r="D486" s="718">
        <f t="shared" si="21"/>
        <v>44</v>
      </c>
      <c r="E486" s="699">
        <v>45230</v>
      </c>
      <c r="F486" s="598"/>
      <c r="G486" s="598"/>
      <c r="H486" s="598"/>
      <c r="I486" s="599"/>
      <c r="J486" s="598" t="s">
        <v>74</v>
      </c>
      <c r="K486" s="598" t="s">
        <v>164</v>
      </c>
      <c r="L486" s="598" t="s">
        <v>165</v>
      </c>
      <c r="M486" s="600"/>
      <c r="N486" s="600"/>
      <c r="O486" s="601"/>
      <c r="P486" s="603">
        <f>1</f>
        <v>1</v>
      </c>
      <c r="Q486" s="499" t="str">
        <f t="shared" si="22"/>
        <v/>
      </c>
      <c r="R486" s="500" t="str">
        <f t="shared" si="23"/>
        <v/>
      </c>
    </row>
    <row r="487" spans="2:18" hidden="1">
      <c r="B487" s="84">
        <v>477</v>
      </c>
      <c r="C487" s="1272"/>
      <c r="D487" s="718">
        <f t="shared" si="21"/>
        <v>44</v>
      </c>
      <c r="E487" s="699">
        <v>45230</v>
      </c>
      <c r="F487" s="598"/>
      <c r="G487" s="598"/>
      <c r="H487" s="598"/>
      <c r="I487" s="599"/>
      <c r="J487" s="598" t="s">
        <v>74</v>
      </c>
      <c r="K487" s="598" t="s">
        <v>164</v>
      </c>
      <c r="L487" s="598" t="s">
        <v>165</v>
      </c>
      <c r="M487" s="600"/>
      <c r="N487" s="600">
        <v>82.5</v>
      </c>
      <c r="O487" s="601"/>
      <c r="P487" s="601">
        <v>100</v>
      </c>
      <c r="Q487" s="602" t="str">
        <f t="shared" si="22"/>
        <v/>
      </c>
      <c r="R487" s="500">
        <f t="shared" si="23"/>
        <v>8250</v>
      </c>
    </row>
    <row r="488" spans="2:18" hidden="1">
      <c r="B488" s="84">
        <v>478</v>
      </c>
      <c r="C488" s="1272"/>
      <c r="D488" s="718">
        <f t="shared" si="21"/>
        <v>44</v>
      </c>
      <c r="E488" s="699">
        <v>45232</v>
      </c>
      <c r="F488" s="598"/>
      <c r="G488" s="598"/>
      <c r="H488" s="598"/>
      <c r="I488" s="599"/>
      <c r="J488" s="598" t="s">
        <v>74</v>
      </c>
      <c r="K488" s="598" t="s">
        <v>162</v>
      </c>
      <c r="L488" s="598" t="s">
        <v>163</v>
      </c>
      <c r="M488" s="600"/>
      <c r="N488" s="600">
        <v>25000</v>
      </c>
      <c r="O488" s="601"/>
      <c r="P488" s="601">
        <f>(300)/1000</f>
        <v>0.3</v>
      </c>
      <c r="Q488" s="602" t="str">
        <f t="shared" si="22"/>
        <v/>
      </c>
      <c r="R488" s="500">
        <f t="shared" si="23"/>
        <v>7500</v>
      </c>
    </row>
    <row r="489" spans="2:18" hidden="1">
      <c r="B489" s="84">
        <v>479</v>
      </c>
      <c r="C489" s="1272"/>
      <c r="D489" s="718">
        <f t="shared" si="21"/>
        <v>44</v>
      </c>
      <c r="E489" s="699">
        <v>45233</v>
      </c>
      <c r="F489" s="598"/>
      <c r="G489" s="598"/>
      <c r="H489" s="598"/>
      <c r="I489" s="599"/>
      <c r="J489" s="598" t="s">
        <v>74</v>
      </c>
      <c r="K489" s="598" t="s">
        <v>164</v>
      </c>
      <c r="L489" s="598" t="s">
        <v>165</v>
      </c>
      <c r="M489" s="600"/>
      <c r="N489" s="600">
        <v>82.5</v>
      </c>
      <c r="O489" s="601"/>
      <c r="P489" s="1022">
        <v>100</v>
      </c>
      <c r="Q489" s="602" t="str">
        <f t="shared" si="22"/>
        <v/>
      </c>
      <c r="R489" s="500">
        <f t="shared" si="23"/>
        <v>8250</v>
      </c>
    </row>
    <row r="490" spans="2:18" hidden="1">
      <c r="B490" s="84">
        <v>480</v>
      </c>
      <c r="C490" s="604"/>
      <c r="D490" s="718">
        <f t="shared" si="21"/>
        <v>44</v>
      </c>
      <c r="E490" s="700">
        <v>45233</v>
      </c>
      <c r="F490" s="605"/>
      <c r="G490" s="605"/>
      <c r="H490" s="605"/>
      <c r="I490" s="606"/>
      <c r="J490" s="605" t="s">
        <v>81</v>
      </c>
      <c r="K490" s="605" t="s">
        <v>162</v>
      </c>
      <c r="L490" s="605" t="s">
        <v>163</v>
      </c>
      <c r="M490" s="607">
        <v>17000</v>
      </c>
      <c r="N490" s="607"/>
      <c r="O490" s="608">
        <f>(170+169+200+220)/1000</f>
        <v>0.75900000000000001</v>
      </c>
      <c r="P490" s="608"/>
      <c r="Q490" s="609">
        <f t="shared" si="22"/>
        <v>12903</v>
      </c>
      <c r="R490" s="500" t="str">
        <f t="shared" si="23"/>
        <v/>
      </c>
    </row>
    <row r="491" spans="2:18" hidden="1">
      <c r="B491" s="84">
        <v>481</v>
      </c>
      <c r="C491" s="604"/>
      <c r="D491" s="718">
        <f t="shared" si="21"/>
        <v>45</v>
      </c>
      <c r="E491" s="700">
        <v>45236</v>
      </c>
      <c r="F491" s="605"/>
      <c r="G491" s="605"/>
      <c r="H491" s="605"/>
      <c r="I491" s="606"/>
      <c r="J491" s="605" t="s">
        <v>81</v>
      </c>
      <c r="K491" s="605" t="s">
        <v>85</v>
      </c>
      <c r="L491" s="605" t="s">
        <v>91</v>
      </c>
      <c r="M491" s="607">
        <v>1.25</v>
      </c>
      <c r="N491" s="607"/>
      <c r="O491" s="608">
        <v>165000</v>
      </c>
      <c r="P491" s="608"/>
      <c r="Q491" s="609">
        <f t="shared" si="22"/>
        <v>206250</v>
      </c>
      <c r="R491" s="500" t="str">
        <f t="shared" si="23"/>
        <v/>
      </c>
    </row>
    <row r="492" spans="2:18" hidden="1">
      <c r="B492" s="84">
        <v>482</v>
      </c>
      <c r="C492" s="604"/>
      <c r="D492" s="718">
        <f t="shared" si="21"/>
        <v>45</v>
      </c>
      <c r="E492" s="700">
        <v>45236</v>
      </c>
      <c r="F492" s="605"/>
      <c r="G492" s="605"/>
      <c r="H492" s="605"/>
      <c r="I492" s="606"/>
      <c r="J492" s="605" t="s">
        <v>81</v>
      </c>
      <c r="K492" s="605" t="s">
        <v>86</v>
      </c>
      <c r="L492" s="605" t="s">
        <v>91</v>
      </c>
      <c r="M492" s="607">
        <v>2.2000000000000002</v>
      </c>
      <c r="N492" s="607"/>
      <c r="O492" s="608">
        <v>19000</v>
      </c>
      <c r="P492" s="608"/>
      <c r="Q492" s="609">
        <f t="shared" si="22"/>
        <v>41800</v>
      </c>
      <c r="R492" s="500" t="str">
        <f t="shared" si="23"/>
        <v/>
      </c>
    </row>
    <row r="493" spans="2:18" hidden="1">
      <c r="B493" s="84">
        <v>483</v>
      </c>
      <c r="C493" s="604"/>
      <c r="D493" s="718">
        <f t="shared" si="21"/>
        <v>45</v>
      </c>
      <c r="E493" s="700">
        <v>45236</v>
      </c>
      <c r="F493" s="605"/>
      <c r="G493" s="605"/>
      <c r="H493" s="605"/>
      <c r="I493" s="606"/>
      <c r="J493" s="605" t="s">
        <v>74</v>
      </c>
      <c r="K493" s="605" t="s">
        <v>164</v>
      </c>
      <c r="L493" s="605" t="s">
        <v>165</v>
      </c>
      <c r="M493" s="607"/>
      <c r="N493" s="607">
        <v>82.5</v>
      </c>
      <c r="O493" s="608"/>
      <c r="P493" s="608">
        <v>400</v>
      </c>
      <c r="Q493" s="609" t="str">
        <f t="shared" si="22"/>
        <v/>
      </c>
      <c r="R493" s="500">
        <f t="shared" si="23"/>
        <v>33000</v>
      </c>
    </row>
    <row r="494" spans="2:18" hidden="1">
      <c r="B494" s="84">
        <v>484</v>
      </c>
      <c r="C494" s="604"/>
      <c r="D494" s="718">
        <f t="shared" si="21"/>
        <v>45</v>
      </c>
      <c r="E494" s="700">
        <v>45236</v>
      </c>
      <c r="F494" s="605"/>
      <c r="G494" s="605"/>
      <c r="H494" s="605"/>
      <c r="I494" s="606"/>
      <c r="J494" s="605" t="s">
        <v>74</v>
      </c>
      <c r="K494" s="605" t="s">
        <v>164</v>
      </c>
      <c r="L494" s="605" t="s">
        <v>165</v>
      </c>
      <c r="M494" s="607"/>
      <c r="N494" s="1024"/>
      <c r="O494" s="608"/>
      <c r="P494" s="608">
        <f>(400+303)</f>
        <v>703</v>
      </c>
      <c r="Q494" s="609" t="str">
        <f t="shared" si="22"/>
        <v/>
      </c>
      <c r="R494" s="500" t="str">
        <f t="shared" si="23"/>
        <v/>
      </c>
    </row>
    <row r="495" spans="2:18" hidden="1">
      <c r="B495" s="84">
        <v>485</v>
      </c>
      <c r="C495" s="604" t="s">
        <v>581</v>
      </c>
      <c r="D495" s="718">
        <f t="shared" si="21"/>
        <v>45</v>
      </c>
      <c r="E495" s="700">
        <v>45238</v>
      </c>
      <c r="F495" s="605"/>
      <c r="G495" s="605"/>
      <c r="H495" s="605"/>
      <c r="I495" s="606"/>
      <c r="J495" s="605" t="s">
        <v>74</v>
      </c>
      <c r="K495" s="605" t="s">
        <v>85</v>
      </c>
      <c r="L495" s="605" t="s">
        <v>91</v>
      </c>
      <c r="M495" s="607"/>
      <c r="N495" s="607">
        <v>2</v>
      </c>
      <c r="O495" s="608"/>
      <c r="P495" s="608">
        <f>(13130+12270+2000)</f>
        <v>27400</v>
      </c>
      <c r="Q495" s="609" t="str">
        <f t="shared" si="22"/>
        <v/>
      </c>
      <c r="R495" s="500">
        <f t="shared" si="23"/>
        <v>54800</v>
      </c>
    </row>
    <row r="496" spans="2:18" hidden="1">
      <c r="B496" s="84">
        <v>486</v>
      </c>
      <c r="C496" s="604"/>
      <c r="D496" s="718">
        <f t="shared" si="21"/>
        <v>45</v>
      </c>
      <c r="E496" s="700">
        <v>45238</v>
      </c>
      <c r="F496" s="605" t="s">
        <v>277</v>
      </c>
      <c r="G496" s="605" t="s">
        <v>361</v>
      </c>
      <c r="H496" s="605" t="s">
        <v>283</v>
      </c>
      <c r="I496" s="606"/>
      <c r="J496" s="605" t="s">
        <v>74</v>
      </c>
      <c r="K496" s="605" t="s">
        <v>162</v>
      </c>
      <c r="L496" s="605" t="s">
        <v>163</v>
      </c>
      <c r="M496" s="607"/>
      <c r="N496" s="607"/>
      <c r="O496" s="608"/>
      <c r="P496" s="608">
        <f>110/1000</f>
        <v>0.11</v>
      </c>
      <c r="Q496" s="609" t="str">
        <f t="shared" si="22"/>
        <v/>
      </c>
      <c r="R496" s="500" t="str">
        <f t="shared" si="23"/>
        <v/>
      </c>
    </row>
    <row r="497" spans="2:18" hidden="1">
      <c r="B497" s="84">
        <v>487</v>
      </c>
      <c r="C497" s="604"/>
      <c r="D497" s="718">
        <f t="shared" si="21"/>
        <v>45</v>
      </c>
      <c r="E497" s="700">
        <v>45239</v>
      </c>
      <c r="F497" s="605"/>
      <c r="G497" s="605"/>
      <c r="H497" s="605"/>
      <c r="I497" s="606"/>
      <c r="J497" s="605" t="s">
        <v>74</v>
      </c>
      <c r="K497" s="605" t="s">
        <v>162</v>
      </c>
      <c r="L497" s="605" t="s">
        <v>163</v>
      </c>
      <c r="M497" s="607"/>
      <c r="N497" s="607">
        <v>25000</v>
      </c>
      <c r="O497" s="608"/>
      <c r="P497" s="608">
        <f>(300/1000)</f>
        <v>0.3</v>
      </c>
      <c r="Q497" s="609" t="str">
        <f t="shared" si="22"/>
        <v/>
      </c>
      <c r="R497" s="500">
        <f t="shared" si="23"/>
        <v>7500</v>
      </c>
    </row>
    <row r="498" spans="2:18" hidden="1">
      <c r="B498" s="84">
        <v>488</v>
      </c>
      <c r="C498" s="604">
        <v>679</v>
      </c>
      <c r="D498" s="718">
        <f t="shared" si="21"/>
        <v>45</v>
      </c>
      <c r="E498" s="700">
        <v>45240</v>
      </c>
      <c r="F498" s="605" t="s">
        <v>112</v>
      </c>
      <c r="G498" s="605" t="s">
        <v>114</v>
      </c>
      <c r="H498" s="605" t="s">
        <v>114</v>
      </c>
      <c r="I498" s="85" t="s">
        <v>635</v>
      </c>
      <c r="J498" s="605" t="s">
        <v>74</v>
      </c>
      <c r="K498" s="605" t="s">
        <v>56</v>
      </c>
      <c r="L498" s="605" t="s">
        <v>91</v>
      </c>
      <c r="M498" s="607"/>
      <c r="N498" s="607">
        <v>40</v>
      </c>
      <c r="O498" s="608"/>
      <c r="P498" s="608">
        <v>440</v>
      </c>
      <c r="Q498" s="609" t="str">
        <f t="shared" si="22"/>
        <v/>
      </c>
      <c r="R498" s="500">
        <f t="shared" si="23"/>
        <v>17600</v>
      </c>
    </row>
    <row r="499" spans="2:18" hidden="1">
      <c r="B499" s="84">
        <v>489</v>
      </c>
      <c r="C499" s="604"/>
      <c r="D499" s="718">
        <f t="shared" si="21"/>
        <v>45</v>
      </c>
      <c r="E499" s="700">
        <v>45240</v>
      </c>
      <c r="F499" s="605"/>
      <c r="G499" s="605"/>
      <c r="H499" s="605"/>
      <c r="I499" s="606"/>
      <c r="J499" s="605" t="s">
        <v>81</v>
      </c>
      <c r="K499" s="605" t="s">
        <v>162</v>
      </c>
      <c r="L499" s="605" t="s">
        <v>163</v>
      </c>
      <c r="M499" s="607">
        <v>17000</v>
      </c>
      <c r="N499" s="607"/>
      <c r="O499" s="608">
        <f>(320+275+340+219)/1000</f>
        <v>1.1539999999999999</v>
      </c>
      <c r="P499" s="608"/>
      <c r="Q499" s="609">
        <f t="shared" si="22"/>
        <v>19618</v>
      </c>
      <c r="R499" s="500" t="str">
        <f t="shared" si="23"/>
        <v/>
      </c>
    </row>
    <row r="500" spans="2:18" hidden="1">
      <c r="B500" s="84">
        <v>490</v>
      </c>
      <c r="C500" s="604"/>
      <c r="D500" s="718">
        <f t="shared" si="21"/>
        <v>45</v>
      </c>
      <c r="E500" s="700">
        <v>45241</v>
      </c>
      <c r="F500" s="605"/>
      <c r="G500" s="605"/>
      <c r="H500" s="605"/>
      <c r="I500" s="606"/>
      <c r="J500" s="605" t="s">
        <v>81</v>
      </c>
      <c r="K500" s="605" t="s">
        <v>87</v>
      </c>
      <c r="L500" s="605" t="s">
        <v>91</v>
      </c>
      <c r="M500" s="607">
        <v>0.75</v>
      </c>
      <c r="N500" s="607"/>
      <c r="O500" s="608">
        <v>10000</v>
      </c>
      <c r="P500" s="608"/>
      <c r="Q500" s="609">
        <f t="shared" si="22"/>
        <v>7500</v>
      </c>
      <c r="R500" s="500" t="str">
        <f t="shared" si="23"/>
        <v/>
      </c>
    </row>
    <row r="501" spans="2:18" hidden="1">
      <c r="B501" s="84">
        <v>491</v>
      </c>
      <c r="C501" s="615"/>
      <c r="D501" s="718">
        <f t="shared" si="21"/>
        <v>46</v>
      </c>
      <c r="E501" s="701">
        <v>45246</v>
      </c>
      <c r="F501" s="610"/>
      <c r="G501" s="610"/>
      <c r="H501" s="610"/>
      <c r="I501" s="611"/>
      <c r="J501" s="610" t="s">
        <v>74</v>
      </c>
      <c r="K501" s="610" t="s">
        <v>162</v>
      </c>
      <c r="L501" s="610" t="s">
        <v>163</v>
      </c>
      <c r="M501" s="612"/>
      <c r="N501" s="612">
        <v>25000</v>
      </c>
      <c r="O501" s="613"/>
      <c r="P501" s="613">
        <f>(200+100+300)/1000</f>
        <v>0.6</v>
      </c>
      <c r="Q501" s="614" t="str">
        <f t="shared" si="22"/>
        <v/>
      </c>
      <c r="R501" s="500">
        <f t="shared" si="23"/>
        <v>15000</v>
      </c>
    </row>
    <row r="502" spans="2:18" hidden="1">
      <c r="B502" s="84">
        <v>492</v>
      </c>
      <c r="C502" s="615"/>
      <c r="D502" s="718">
        <f t="shared" si="21"/>
        <v>46</v>
      </c>
      <c r="E502" s="701">
        <v>45247</v>
      </c>
      <c r="F502" s="610"/>
      <c r="G502" s="610"/>
      <c r="H502" s="610"/>
      <c r="I502" s="611"/>
      <c r="J502" s="610" t="s">
        <v>81</v>
      </c>
      <c r="K502" s="610" t="s">
        <v>164</v>
      </c>
      <c r="L502" s="610" t="s">
        <v>165</v>
      </c>
      <c r="M502" s="612">
        <v>287.6268905420971</v>
      </c>
      <c r="N502" s="612"/>
      <c r="O502" s="613">
        <f>51.82+102.82</f>
        <v>154.63999999999999</v>
      </c>
      <c r="P502" s="613"/>
      <c r="Q502" s="499">
        <f t="shared" si="22"/>
        <v>44478.622353429892</v>
      </c>
      <c r="R502" s="500" t="str">
        <f t="shared" si="23"/>
        <v/>
      </c>
    </row>
    <row r="503" spans="2:18" hidden="1">
      <c r="B503" s="84">
        <v>493</v>
      </c>
      <c r="C503" s="615"/>
      <c r="D503" s="718">
        <f t="shared" si="21"/>
        <v>46</v>
      </c>
      <c r="E503" s="701">
        <v>45247</v>
      </c>
      <c r="F503" s="610"/>
      <c r="G503" s="610"/>
      <c r="H503" s="610"/>
      <c r="I503" s="611"/>
      <c r="J503" s="610" t="s">
        <v>81</v>
      </c>
      <c r="K503" s="610" t="s">
        <v>56</v>
      </c>
      <c r="L503" s="610" t="s">
        <v>91</v>
      </c>
      <c r="M503" s="612">
        <v>27.769467619047621</v>
      </c>
      <c r="N503" s="612"/>
      <c r="O503" s="613">
        <f>(2000+2000+2000)</f>
        <v>6000</v>
      </c>
      <c r="P503" s="613"/>
      <c r="Q503" s="614">
        <f t="shared" si="22"/>
        <v>166616.80571428573</v>
      </c>
      <c r="R503" s="500" t="str">
        <f t="shared" si="23"/>
        <v/>
      </c>
    </row>
    <row r="504" spans="2:18" hidden="1">
      <c r="B504" s="84">
        <v>494</v>
      </c>
      <c r="C504" s="615"/>
      <c r="D504" s="718">
        <f t="shared" si="21"/>
        <v>46</v>
      </c>
      <c r="E504" s="701">
        <v>45247</v>
      </c>
      <c r="F504" s="610"/>
      <c r="G504" s="610"/>
      <c r="H504" s="610"/>
      <c r="I504" s="611"/>
      <c r="J504" s="610" t="s">
        <v>81</v>
      </c>
      <c r="K504" s="610" t="s">
        <v>161</v>
      </c>
      <c r="L504" s="610" t="s">
        <v>185</v>
      </c>
      <c r="M504" s="612">
        <v>199.92359142534642</v>
      </c>
      <c r="N504" s="612"/>
      <c r="O504" s="613">
        <v>200</v>
      </c>
      <c r="P504" s="613"/>
      <c r="Q504" s="614">
        <f t="shared" si="22"/>
        <v>39984.718285069284</v>
      </c>
      <c r="R504" s="500" t="str">
        <f t="shared" si="23"/>
        <v/>
      </c>
    </row>
    <row r="505" spans="2:18" hidden="1">
      <c r="B505" s="84">
        <v>495</v>
      </c>
      <c r="C505" s="615"/>
      <c r="D505" s="718">
        <f t="shared" si="21"/>
        <v>46</v>
      </c>
      <c r="E505" s="701">
        <v>45247</v>
      </c>
      <c r="F505" s="610"/>
      <c r="G505" s="610"/>
      <c r="H505" s="610"/>
      <c r="I505" s="611"/>
      <c r="J505" s="610" t="s">
        <v>81</v>
      </c>
      <c r="K505" s="610" t="s">
        <v>162</v>
      </c>
      <c r="L505" s="610" t="s">
        <v>163</v>
      </c>
      <c r="M505" s="612">
        <v>17000</v>
      </c>
      <c r="N505" s="612"/>
      <c r="O505" s="613">
        <f>(325+290+336+360)/1000</f>
        <v>1.3109999999999999</v>
      </c>
      <c r="P505" s="613"/>
      <c r="Q505" s="614">
        <f t="shared" si="22"/>
        <v>22287</v>
      </c>
      <c r="R505" s="500" t="str">
        <f t="shared" si="23"/>
        <v/>
      </c>
    </row>
    <row r="506" spans="2:18" hidden="1">
      <c r="B506" s="84">
        <v>496</v>
      </c>
      <c r="C506" s="615">
        <v>680</v>
      </c>
      <c r="D506" s="718">
        <f t="shared" si="21"/>
        <v>46</v>
      </c>
      <c r="E506" s="701">
        <v>45248</v>
      </c>
      <c r="F506" s="610" t="s">
        <v>111</v>
      </c>
      <c r="G506" s="610" t="s">
        <v>426</v>
      </c>
      <c r="H506" s="610" t="s">
        <v>426</v>
      </c>
      <c r="I506" s="611" t="s">
        <v>617</v>
      </c>
      <c r="J506" s="610" t="s">
        <v>74</v>
      </c>
      <c r="K506" s="610" t="s">
        <v>56</v>
      </c>
      <c r="L506" s="610" t="s">
        <v>91</v>
      </c>
      <c r="M506" s="612"/>
      <c r="N506" s="612"/>
      <c r="O506" s="613"/>
      <c r="P506" s="613"/>
      <c r="Q506" s="614" t="str">
        <f t="shared" si="22"/>
        <v/>
      </c>
      <c r="R506" s="500" t="str">
        <f t="shared" si="23"/>
        <v/>
      </c>
    </row>
    <row r="507" spans="2:18" hidden="1">
      <c r="B507" s="84">
        <v>497</v>
      </c>
      <c r="C507" s="615" t="s">
        <v>587</v>
      </c>
      <c r="D507" s="718">
        <f t="shared" si="21"/>
        <v>47</v>
      </c>
      <c r="E507" s="701">
        <v>45251</v>
      </c>
      <c r="F507" s="610"/>
      <c r="G507" s="610"/>
      <c r="H507" s="610"/>
      <c r="I507" s="611"/>
      <c r="J507" s="610" t="s">
        <v>74</v>
      </c>
      <c r="K507" s="610" t="s">
        <v>56</v>
      </c>
      <c r="L507" s="610" t="s">
        <v>91</v>
      </c>
      <c r="M507" s="612"/>
      <c r="N507" s="612">
        <v>40</v>
      </c>
      <c r="O507" s="613"/>
      <c r="P507" s="613">
        <f>20+20</f>
        <v>40</v>
      </c>
      <c r="Q507" s="614" t="str">
        <f t="shared" si="22"/>
        <v/>
      </c>
      <c r="R507" s="500">
        <f t="shared" si="23"/>
        <v>1600</v>
      </c>
    </row>
    <row r="508" spans="2:18" hidden="1">
      <c r="B508" s="84">
        <v>498</v>
      </c>
      <c r="C508" s="615" t="s">
        <v>586</v>
      </c>
      <c r="D508" s="718">
        <f t="shared" si="21"/>
        <v>47</v>
      </c>
      <c r="E508" s="701">
        <v>45251</v>
      </c>
      <c r="F508" s="610"/>
      <c r="G508" s="610"/>
      <c r="H508" s="610"/>
      <c r="I508" s="611"/>
      <c r="J508" s="610" t="s">
        <v>74</v>
      </c>
      <c r="K508" s="610" t="s">
        <v>87</v>
      </c>
      <c r="L508" s="610" t="s">
        <v>91</v>
      </c>
      <c r="M508" s="612"/>
      <c r="N508" s="612"/>
      <c r="O508" s="613"/>
      <c r="P508" s="613">
        <v>20</v>
      </c>
      <c r="Q508" s="614" t="str">
        <f t="shared" si="22"/>
        <v/>
      </c>
      <c r="R508" s="500" t="str">
        <f t="shared" si="23"/>
        <v/>
      </c>
    </row>
    <row r="509" spans="2:18">
      <c r="B509" s="84">
        <v>499</v>
      </c>
      <c r="C509" s="615" t="s">
        <v>596</v>
      </c>
      <c r="D509" s="718">
        <f t="shared" si="21"/>
        <v>47</v>
      </c>
      <c r="E509" s="701">
        <v>45251</v>
      </c>
      <c r="F509" s="610"/>
      <c r="G509" s="610"/>
      <c r="H509" s="610"/>
      <c r="I509" s="611"/>
      <c r="J509" s="610" t="s">
        <v>74</v>
      </c>
      <c r="K509" s="610" t="s">
        <v>86</v>
      </c>
      <c r="L509" s="610" t="s">
        <v>91</v>
      </c>
      <c r="M509" s="612"/>
      <c r="N509" s="612"/>
      <c r="O509" s="613"/>
      <c r="P509" s="613">
        <v>40</v>
      </c>
      <c r="Q509" s="614" t="str">
        <f t="shared" si="22"/>
        <v/>
      </c>
      <c r="R509" s="500" t="str">
        <f t="shared" si="23"/>
        <v/>
      </c>
    </row>
    <row r="510" spans="2:18" hidden="1">
      <c r="B510" s="84">
        <v>500</v>
      </c>
      <c r="C510" s="615">
        <v>683</v>
      </c>
      <c r="D510" s="718">
        <f t="shared" si="21"/>
        <v>47</v>
      </c>
      <c r="E510" s="701">
        <v>45251</v>
      </c>
      <c r="F510" s="610" t="s">
        <v>113</v>
      </c>
      <c r="G510" s="610" t="s">
        <v>442</v>
      </c>
      <c r="H510" s="610" t="s">
        <v>442</v>
      </c>
      <c r="I510" s="611"/>
      <c r="J510" s="610" t="s">
        <v>74</v>
      </c>
      <c r="K510" s="610" t="s">
        <v>161</v>
      </c>
      <c r="L510" s="610" t="s">
        <v>185</v>
      </c>
      <c r="M510" s="612"/>
      <c r="N510" s="612">
        <v>350</v>
      </c>
      <c r="O510" s="613"/>
      <c r="P510" s="613">
        <v>100</v>
      </c>
      <c r="Q510" s="614" t="str">
        <f t="shared" si="22"/>
        <v/>
      </c>
      <c r="R510" s="500">
        <f t="shared" si="23"/>
        <v>35000</v>
      </c>
    </row>
    <row r="511" spans="2:18" hidden="1">
      <c r="B511" s="84">
        <v>501</v>
      </c>
      <c r="C511" s="615">
        <v>682</v>
      </c>
      <c r="D511" s="718">
        <f t="shared" si="21"/>
        <v>47</v>
      </c>
      <c r="E511" s="701">
        <v>45251</v>
      </c>
      <c r="F511" s="610" t="s">
        <v>113</v>
      </c>
      <c r="G511" s="610" t="s">
        <v>442</v>
      </c>
      <c r="H511" s="610" t="s">
        <v>442</v>
      </c>
      <c r="I511" s="611"/>
      <c r="J511" s="610" t="s">
        <v>74</v>
      </c>
      <c r="K511" s="610" t="s">
        <v>652</v>
      </c>
      <c r="L511" s="610" t="s">
        <v>185</v>
      </c>
      <c r="M511" s="612"/>
      <c r="N511" s="612">
        <v>350</v>
      </c>
      <c r="O511" s="613"/>
      <c r="P511" s="613">
        <v>100</v>
      </c>
      <c r="Q511" s="614" t="str">
        <f t="shared" si="22"/>
        <v/>
      </c>
      <c r="R511" s="500">
        <f t="shared" si="23"/>
        <v>35000</v>
      </c>
    </row>
    <row r="512" spans="2:18" hidden="1">
      <c r="B512" s="84">
        <v>502</v>
      </c>
      <c r="C512" s="498">
        <v>681</v>
      </c>
      <c r="D512" s="718">
        <f t="shared" si="21"/>
        <v>47</v>
      </c>
      <c r="E512" s="684">
        <v>45251</v>
      </c>
      <c r="F512" s="85" t="s">
        <v>113</v>
      </c>
      <c r="G512" s="85" t="s">
        <v>442</v>
      </c>
      <c r="H512" s="85" t="s">
        <v>442</v>
      </c>
      <c r="I512" s="86"/>
      <c r="J512" s="85" t="s">
        <v>74</v>
      </c>
      <c r="K512" s="85" t="s">
        <v>461</v>
      </c>
      <c r="L512" s="85" t="s">
        <v>185</v>
      </c>
      <c r="M512" s="467"/>
      <c r="N512" s="467">
        <v>145</v>
      </c>
      <c r="O512" s="468"/>
      <c r="P512" s="468">
        <v>100</v>
      </c>
      <c r="Q512" s="499" t="str">
        <f t="shared" si="22"/>
        <v/>
      </c>
      <c r="R512" s="500">
        <f t="shared" si="23"/>
        <v>14500</v>
      </c>
    </row>
    <row r="513" spans="2:18" hidden="1">
      <c r="B513" s="84">
        <v>503</v>
      </c>
      <c r="C513" s="615">
        <v>684</v>
      </c>
      <c r="D513" s="718">
        <f t="shared" si="21"/>
        <v>47</v>
      </c>
      <c r="E513" s="701">
        <v>45252</v>
      </c>
      <c r="F513" s="610" t="s">
        <v>113</v>
      </c>
      <c r="G513" s="610" t="s">
        <v>442</v>
      </c>
      <c r="H513" s="610" t="s">
        <v>442</v>
      </c>
      <c r="I513" s="611"/>
      <c r="J513" s="610" t="s">
        <v>74</v>
      </c>
      <c r="K513" s="610" t="s">
        <v>56</v>
      </c>
      <c r="L513" s="610" t="s">
        <v>91</v>
      </c>
      <c r="M513" s="612"/>
      <c r="N513" s="612">
        <v>80</v>
      </c>
      <c r="O513" s="613"/>
      <c r="P513" s="613">
        <v>4000</v>
      </c>
      <c r="Q513" s="614" t="str">
        <f t="shared" si="22"/>
        <v/>
      </c>
      <c r="R513" s="500">
        <f t="shared" si="23"/>
        <v>320000</v>
      </c>
    </row>
    <row r="514" spans="2:18" hidden="1">
      <c r="B514" s="84">
        <v>504</v>
      </c>
      <c r="C514" s="615"/>
      <c r="D514" s="718">
        <f t="shared" si="21"/>
        <v>47</v>
      </c>
      <c r="E514" s="701">
        <v>45252</v>
      </c>
      <c r="F514" s="610"/>
      <c r="G514" s="610"/>
      <c r="H514" s="610"/>
      <c r="I514" s="611"/>
      <c r="J514" s="610" t="s">
        <v>81</v>
      </c>
      <c r="K514" s="610" t="s">
        <v>161</v>
      </c>
      <c r="L514" s="610" t="s">
        <v>185</v>
      </c>
      <c r="M514" s="612">
        <v>199.92359142534642</v>
      </c>
      <c r="N514" s="612"/>
      <c r="O514" s="613">
        <v>600</v>
      </c>
      <c r="P514" s="613"/>
      <c r="Q514" s="614">
        <f t="shared" si="22"/>
        <v>119954.15485520785</v>
      </c>
      <c r="R514" s="500" t="str">
        <f t="shared" si="23"/>
        <v/>
      </c>
    </row>
    <row r="515" spans="2:18" hidden="1">
      <c r="B515" s="84">
        <v>505</v>
      </c>
      <c r="C515" s="615"/>
      <c r="D515" s="718">
        <f t="shared" si="21"/>
        <v>47</v>
      </c>
      <c r="E515" s="701">
        <v>45252</v>
      </c>
      <c r="F515" s="610" t="s">
        <v>277</v>
      </c>
      <c r="G515" s="610" t="s">
        <v>361</v>
      </c>
      <c r="H515" s="610" t="s">
        <v>283</v>
      </c>
      <c r="I515" s="611"/>
      <c r="J515" s="610" t="s">
        <v>74</v>
      </c>
      <c r="K515" s="610" t="s">
        <v>162</v>
      </c>
      <c r="L515" s="610" t="s">
        <v>163</v>
      </c>
      <c r="M515" s="612"/>
      <c r="N515" s="612"/>
      <c r="O515" s="613"/>
      <c r="P515" s="613">
        <f>(110/1000)</f>
        <v>0.11</v>
      </c>
      <c r="Q515" s="614" t="str">
        <f t="shared" si="22"/>
        <v/>
      </c>
      <c r="R515" s="500" t="str">
        <f t="shared" si="23"/>
        <v/>
      </c>
    </row>
    <row r="516" spans="2:18" hidden="1">
      <c r="B516" s="84">
        <v>506</v>
      </c>
      <c r="C516" s="615"/>
      <c r="D516" s="718">
        <f t="shared" si="21"/>
        <v>47</v>
      </c>
      <c r="E516" s="701">
        <v>45252</v>
      </c>
      <c r="F516" s="610" t="s">
        <v>113</v>
      </c>
      <c r="G516" s="610" t="s">
        <v>442</v>
      </c>
      <c r="H516" s="610" t="s">
        <v>442</v>
      </c>
      <c r="I516" s="611"/>
      <c r="J516" s="610" t="s">
        <v>74</v>
      </c>
      <c r="K516" s="610" t="s">
        <v>162</v>
      </c>
      <c r="L516" s="610" t="s">
        <v>163</v>
      </c>
      <c r="M516" s="612"/>
      <c r="N516" s="612">
        <v>42000</v>
      </c>
      <c r="O516" s="613"/>
      <c r="P516" s="613">
        <f>1000/1000</f>
        <v>1</v>
      </c>
      <c r="Q516" s="614" t="str">
        <f t="shared" si="22"/>
        <v/>
      </c>
      <c r="R516" s="500">
        <f t="shared" si="23"/>
        <v>42000</v>
      </c>
    </row>
    <row r="517" spans="2:18" hidden="1">
      <c r="B517" s="84">
        <v>507</v>
      </c>
      <c r="C517" s="615"/>
      <c r="D517" s="718">
        <f t="shared" si="21"/>
        <v>47</v>
      </c>
      <c r="E517" s="701">
        <v>45253</v>
      </c>
      <c r="F517" s="610"/>
      <c r="G517" s="610"/>
      <c r="H517" s="610"/>
      <c r="I517" s="611"/>
      <c r="J517" s="610" t="s">
        <v>81</v>
      </c>
      <c r="K517" s="610" t="s">
        <v>164</v>
      </c>
      <c r="L517" s="610" t="s">
        <v>165</v>
      </c>
      <c r="M517" s="612">
        <v>287.6268905420971</v>
      </c>
      <c r="N517" s="612"/>
      <c r="O517" s="613">
        <f>68.87+34.34+15.19+97.47+36.44+17.29+11.17</f>
        <v>280.77000000000004</v>
      </c>
      <c r="P517" s="613"/>
      <c r="Q517" s="499">
        <f t="shared" si="22"/>
        <v>80757.002057504607</v>
      </c>
      <c r="R517" s="500" t="str">
        <f t="shared" si="23"/>
        <v/>
      </c>
    </row>
    <row r="518" spans="2:18" hidden="1">
      <c r="B518" s="84">
        <v>508</v>
      </c>
      <c r="C518" s="615"/>
      <c r="D518" s="718">
        <f t="shared" si="21"/>
        <v>47</v>
      </c>
      <c r="E518" s="701">
        <v>45253</v>
      </c>
      <c r="F518" s="610"/>
      <c r="G518" s="610"/>
      <c r="H518" s="610"/>
      <c r="I518" s="611"/>
      <c r="J518" s="610" t="s">
        <v>81</v>
      </c>
      <c r="K518" s="610" t="s">
        <v>652</v>
      </c>
      <c r="L518" s="610" t="s">
        <v>185</v>
      </c>
      <c r="M518" s="612">
        <v>247.18544827008316</v>
      </c>
      <c r="N518" s="612"/>
      <c r="O518" s="613">
        <v>400</v>
      </c>
      <c r="P518" s="613"/>
      <c r="Q518" s="614">
        <f t="shared" si="22"/>
        <v>98874.179308033257</v>
      </c>
      <c r="R518" s="500" t="str">
        <f t="shared" si="23"/>
        <v/>
      </c>
    </row>
    <row r="519" spans="2:18" hidden="1">
      <c r="B519" s="84">
        <v>509</v>
      </c>
      <c r="C519" s="615"/>
      <c r="D519" s="718">
        <f t="shared" si="21"/>
        <v>47</v>
      </c>
      <c r="E519" s="701">
        <v>45253</v>
      </c>
      <c r="F519" s="610"/>
      <c r="G519" s="610"/>
      <c r="H519" s="610"/>
      <c r="I519" s="611"/>
      <c r="J519" s="610" t="s">
        <v>74</v>
      </c>
      <c r="K519" s="610" t="s">
        <v>162</v>
      </c>
      <c r="L519" s="610" t="s">
        <v>163</v>
      </c>
      <c r="M519" s="612"/>
      <c r="N519" s="612">
        <v>25000</v>
      </c>
      <c r="O519" s="613"/>
      <c r="P519" s="613">
        <f>(200+150+300)/1000</f>
        <v>0.65</v>
      </c>
      <c r="Q519" s="614" t="str">
        <f t="shared" si="22"/>
        <v/>
      </c>
      <c r="R519" s="500">
        <f t="shared" si="23"/>
        <v>16250</v>
      </c>
    </row>
    <row r="520" spans="2:18" hidden="1">
      <c r="B520" s="84">
        <v>510</v>
      </c>
      <c r="C520" s="615"/>
      <c r="D520" s="718">
        <f t="shared" si="21"/>
        <v>47</v>
      </c>
      <c r="E520" s="701">
        <v>45254</v>
      </c>
      <c r="F520" s="610"/>
      <c r="G520" s="610"/>
      <c r="H520" s="610"/>
      <c r="I520" s="611"/>
      <c r="J520" s="610" t="s">
        <v>74</v>
      </c>
      <c r="K520" s="610" t="s">
        <v>164</v>
      </c>
      <c r="L520" s="610" t="s">
        <v>165</v>
      </c>
      <c r="M520" s="612"/>
      <c r="N520" s="612">
        <v>82.5</v>
      </c>
      <c r="O520" s="613"/>
      <c r="P520" s="1023">
        <f>21+19</f>
        <v>40</v>
      </c>
      <c r="Q520" s="614" t="str">
        <f t="shared" si="22"/>
        <v/>
      </c>
      <c r="R520" s="500">
        <f t="shared" si="23"/>
        <v>3300</v>
      </c>
    </row>
    <row r="521" spans="2:18" hidden="1">
      <c r="B521" s="84">
        <v>511</v>
      </c>
      <c r="C521" s="615">
        <v>687</v>
      </c>
      <c r="D521" s="718">
        <f t="shared" si="21"/>
        <v>47</v>
      </c>
      <c r="E521" s="701">
        <v>45254</v>
      </c>
      <c r="F521" s="610" t="s">
        <v>112</v>
      </c>
      <c r="G521" s="610" t="s">
        <v>114</v>
      </c>
      <c r="H521" s="610" t="s">
        <v>114</v>
      </c>
      <c r="I521" s="85" t="s">
        <v>622</v>
      </c>
      <c r="J521" s="610" t="s">
        <v>74</v>
      </c>
      <c r="K521" s="610" t="s">
        <v>161</v>
      </c>
      <c r="L521" s="610" t="s">
        <v>185</v>
      </c>
      <c r="M521" s="612"/>
      <c r="N521" s="612">
        <v>240</v>
      </c>
      <c r="O521" s="613"/>
      <c r="P521" s="613">
        <v>900</v>
      </c>
      <c r="Q521" s="614" t="str">
        <f t="shared" si="22"/>
        <v/>
      </c>
      <c r="R521" s="500">
        <f t="shared" si="23"/>
        <v>216000</v>
      </c>
    </row>
    <row r="522" spans="2:18" hidden="1">
      <c r="B522" s="84">
        <v>512</v>
      </c>
      <c r="C522" s="615">
        <v>686</v>
      </c>
      <c r="D522" s="718">
        <f t="shared" si="21"/>
        <v>47</v>
      </c>
      <c r="E522" s="701">
        <v>45254</v>
      </c>
      <c r="F522" s="610" t="s">
        <v>112</v>
      </c>
      <c r="G522" s="610" t="s">
        <v>114</v>
      </c>
      <c r="H522" s="610" t="s">
        <v>114</v>
      </c>
      <c r="I522" s="85" t="s">
        <v>631</v>
      </c>
      <c r="J522" s="610" t="s">
        <v>74</v>
      </c>
      <c r="K522" s="610" t="s">
        <v>652</v>
      </c>
      <c r="L522" s="610" t="s">
        <v>185</v>
      </c>
      <c r="M522" s="612"/>
      <c r="N522" s="612">
        <v>299</v>
      </c>
      <c r="O522" s="613"/>
      <c r="P522" s="613">
        <v>300</v>
      </c>
      <c r="Q522" s="614" t="str">
        <f t="shared" si="22"/>
        <v/>
      </c>
      <c r="R522" s="500">
        <f t="shared" si="23"/>
        <v>89700</v>
      </c>
    </row>
    <row r="523" spans="2:18" hidden="1">
      <c r="B523" s="84">
        <v>513</v>
      </c>
      <c r="C523" s="615">
        <v>685</v>
      </c>
      <c r="D523" s="718">
        <f t="shared" ref="D523:D569" si="24">WEEKNUM(E523,21)</f>
        <v>47</v>
      </c>
      <c r="E523" s="701">
        <v>45254</v>
      </c>
      <c r="F523" s="610" t="s">
        <v>112</v>
      </c>
      <c r="G523" s="610" t="s">
        <v>114</v>
      </c>
      <c r="H523" s="610" t="s">
        <v>114</v>
      </c>
      <c r="I523" s="85" t="s">
        <v>616</v>
      </c>
      <c r="J523" s="610" t="s">
        <v>74</v>
      </c>
      <c r="K523" s="610" t="s">
        <v>461</v>
      </c>
      <c r="L523" s="610" t="s">
        <v>185</v>
      </c>
      <c r="M523" s="612"/>
      <c r="N523" s="612">
        <v>110</v>
      </c>
      <c r="O523" s="613"/>
      <c r="P523" s="596">
        <v>380</v>
      </c>
      <c r="Q523" s="614" t="str">
        <f t="shared" ref="Q523:Q569" si="25">IF((M523*O523)&lt;=0,"",(M523*O523))</f>
        <v/>
      </c>
      <c r="R523" s="500">
        <f t="shared" ref="R523:R569" si="26">IF((N523*P523)&lt;=0,"",(N523*P523))</f>
        <v>41800</v>
      </c>
    </row>
    <row r="524" spans="2:18" hidden="1">
      <c r="B524" s="84">
        <v>514</v>
      </c>
      <c r="C524" s="615"/>
      <c r="D524" s="718">
        <f t="shared" si="24"/>
        <v>47</v>
      </c>
      <c r="E524" s="701">
        <v>45254</v>
      </c>
      <c r="F524" s="610"/>
      <c r="G524" s="610"/>
      <c r="H524" s="610"/>
      <c r="I524" s="611"/>
      <c r="J524" s="610" t="s">
        <v>81</v>
      </c>
      <c r="K524" s="610" t="s">
        <v>162</v>
      </c>
      <c r="L524" s="610" t="s">
        <v>163</v>
      </c>
      <c r="M524" s="612">
        <v>17000</v>
      </c>
      <c r="N524" s="612"/>
      <c r="O524" s="613">
        <f>(500+345+415+210)/1000</f>
        <v>1.47</v>
      </c>
      <c r="P524" s="613"/>
      <c r="Q524" s="614">
        <f t="shared" si="25"/>
        <v>24990</v>
      </c>
      <c r="R524" s="500" t="str">
        <f t="shared" si="26"/>
        <v/>
      </c>
    </row>
    <row r="525" spans="2:18" hidden="1">
      <c r="B525" s="84">
        <v>515</v>
      </c>
      <c r="C525" s="615"/>
      <c r="D525" s="718">
        <f t="shared" si="24"/>
        <v>47</v>
      </c>
      <c r="E525" s="701">
        <v>45255</v>
      </c>
      <c r="F525" s="610"/>
      <c r="G525" s="610"/>
      <c r="H525" s="610"/>
      <c r="I525" s="611"/>
      <c r="J525" s="610" t="s">
        <v>81</v>
      </c>
      <c r="K525" s="610" t="s">
        <v>86</v>
      </c>
      <c r="L525" s="610" t="s">
        <v>91</v>
      </c>
      <c r="M525" s="612">
        <v>2.2000000000000002</v>
      </c>
      <c r="N525" s="612"/>
      <c r="O525" s="613">
        <v>12000</v>
      </c>
      <c r="P525" s="613"/>
      <c r="Q525" s="614">
        <f t="shared" si="25"/>
        <v>26400.000000000004</v>
      </c>
      <c r="R525" s="500" t="str">
        <f t="shared" si="26"/>
        <v/>
      </c>
    </row>
    <row r="526" spans="2:18" hidden="1">
      <c r="B526" s="84">
        <v>516</v>
      </c>
      <c r="C526" s="616"/>
      <c r="D526" s="718">
        <f t="shared" si="24"/>
        <v>48</v>
      </c>
      <c r="E526" s="702">
        <v>45257</v>
      </c>
      <c r="F526" s="617"/>
      <c r="G526" s="617"/>
      <c r="H526" s="617"/>
      <c r="I526" s="618"/>
      <c r="J526" s="617" t="s">
        <v>81</v>
      </c>
      <c r="K526" s="617" t="s">
        <v>164</v>
      </c>
      <c r="L526" s="617" t="s">
        <v>165</v>
      </c>
      <c r="M526" s="619">
        <v>287.6268905420971</v>
      </c>
      <c r="N526" s="619"/>
      <c r="O526" s="620">
        <f>28.43+7.79+65.07</f>
        <v>101.28999999999999</v>
      </c>
      <c r="P526" s="620"/>
      <c r="Q526" s="499">
        <f t="shared" si="25"/>
        <v>29133.727743009014</v>
      </c>
      <c r="R526" s="500" t="str">
        <f t="shared" si="26"/>
        <v/>
      </c>
    </row>
    <row r="527" spans="2:18" hidden="1">
      <c r="B527" s="84">
        <v>517</v>
      </c>
      <c r="C527" s="621"/>
      <c r="D527" s="718">
        <f t="shared" si="24"/>
        <v>48</v>
      </c>
      <c r="E527" s="703">
        <v>45259</v>
      </c>
      <c r="F527" s="622"/>
      <c r="G527" s="622"/>
      <c r="H527" s="622"/>
      <c r="I527" s="623"/>
      <c r="J527" s="622" t="s">
        <v>81</v>
      </c>
      <c r="K527" s="622" t="s">
        <v>164</v>
      </c>
      <c r="L527" s="622" t="s">
        <v>165</v>
      </c>
      <c r="M527" s="624">
        <v>287.6268905420971</v>
      </c>
      <c r="N527" s="624"/>
      <c r="O527" s="625">
        <f>32.04+28.67+81.87+58.21</f>
        <v>200.79000000000002</v>
      </c>
      <c r="P527" s="625"/>
      <c r="Q527" s="499">
        <f t="shared" si="25"/>
        <v>57752.603351947684</v>
      </c>
      <c r="R527" s="500" t="str">
        <f t="shared" si="26"/>
        <v/>
      </c>
    </row>
    <row r="528" spans="2:18" hidden="1">
      <c r="B528" s="84">
        <v>518</v>
      </c>
      <c r="C528" s="621" t="s">
        <v>582</v>
      </c>
      <c r="D528" s="718">
        <f t="shared" si="24"/>
        <v>48</v>
      </c>
      <c r="E528" s="703">
        <v>45260</v>
      </c>
      <c r="F528" s="622"/>
      <c r="G528" s="622"/>
      <c r="H528" s="622"/>
      <c r="I528" s="623"/>
      <c r="J528" s="622" t="s">
        <v>74</v>
      </c>
      <c r="K528" s="622" t="s">
        <v>85</v>
      </c>
      <c r="L528" s="622" t="s">
        <v>91</v>
      </c>
      <c r="M528" s="624"/>
      <c r="N528" s="624">
        <v>2</v>
      </c>
      <c r="O528" s="625"/>
      <c r="P528" s="625">
        <v>2000</v>
      </c>
      <c r="Q528" s="626" t="str">
        <f t="shared" si="25"/>
        <v/>
      </c>
      <c r="R528" s="500">
        <f t="shared" si="26"/>
        <v>4000</v>
      </c>
    </row>
    <row r="529" spans="2:18" hidden="1">
      <c r="B529" s="84">
        <v>519</v>
      </c>
      <c r="C529" s="621"/>
      <c r="D529" s="718">
        <f t="shared" si="24"/>
        <v>48</v>
      </c>
      <c r="E529" s="703">
        <v>45260</v>
      </c>
      <c r="F529" s="622"/>
      <c r="G529" s="622"/>
      <c r="H529" s="622"/>
      <c r="I529" s="623"/>
      <c r="J529" s="622" t="s">
        <v>81</v>
      </c>
      <c r="K529" s="622" t="s">
        <v>652</v>
      </c>
      <c r="L529" s="622" t="s">
        <v>185</v>
      </c>
      <c r="M529" s="624">
        <v>247.18544827008316</v>
      </c>
      <c r="N529" s="624"/>
      <c r="O529" s="625">
        <v>600</v>
      </c>
      <c r="P529" s="613"/>
      <c r="Q529" s="626">
        <f t="shared" si="25"/>
        <v>148311.26896204989</v>
      </c>
      <c r="R529" s="500" t="str">
        <f t="shared" si="26"/>
        <v/>
      </c>
    </row>
    <row r="530" spans="2:18" hidden="1">
      <c r="B530" s="84">
        <v>520</v>
      </c>
      <c r="C530" s="621"/>
      <c r="D530" s="718">
        <f t="shared" si="24"/>
        <v>48</v>
      </c>
      <c r="E530" s="703">
        <v>45261</v>
      </c>
      <c r="F530" s="622"/>
      <c r="G530" s="622"/>
      <c r="H530" s="622"/>
      <c r="I530" s="623"/>
      <c r="J530" s="622" t="s">
        <v>74</v>
      </c>
      <c r="K530" s="622" t="s">
        <v>162</v>
      </c>
      <c r="L530" s="622" t="s">
        <v>163</v>
      </c>
      <c r="M530" s="624"/>
      <c r="N530" s="624">
        <v>25000</v>
      </c>
      <c r="O530" s="625"/>
      <c r="P530" s="625">
        <f>(300+250)/1000</f>
        <v>0.55000000000000004</v>
      </c>
      <c r="Q530" s="626" t="str">
        <f t="shared" si="25"/>
        <v/>
      </c>
      <c r="R530" s="500">
        <f t="shared" si="26"/>
        <v>13750.000000000002</v>
      </c>
    </row>
    <row r="531" spans="2:18" hidden="1">
      <c r="B531" s="84">
        <v>521</v>
      </c>
      <c r="C531" s="621"/>
      <c r="D531" s="718">
        <f t="shared" si="24"/>
        <v>48</v>
      </c>
      <c r="E531" s="703">
        <v>45262</v>
      </c>
      <c r="F531" s="622"/>
      <c r="G531" s="622"/>
      <c r="H531" s="622"/>
      <c r="I531" s="623"/>
      <c r="J531" s="622" t="s">
        <v>81</v>
      </c>
      <c r="K531" s="622" t="s">
        <v>86</v>
      </c>
      <c r="L531" s="622" t="s">
        <v>91</v>
      </c>
      <c r="M531" s="624">
        <v>2.2000000000000002</v>
      </c>
      <c r="N531" s="624"/>
      <c r="O531" s="625">
        <v>18000</v>
      </c>
      <c r="P531" s="625"/>
      <c r="Q531" s="626">
        <f t="shared" si="25"/>
        <v>39600</v>
      </c>
      <c r="R531" s="500" t="str">
        <f t="shared" si="26"/>
        <v/>
      </c>
    </row>
    <row r="532" spans="2:18" hidden="1">
      <c r="B532" s="84">
        <v>522</v>
      </c>
      <c r="C532" s="621"/>
      <c r="D532" s="718">
        <f t="shared" si="24"/>
        <v>48</v>
      </c>
      <c r="E532" s="703">
        <v>45262</v>
      </c>
      <c r="F532" s="622"/>
      <c r="G532" s="622"/>
      <c r="H532" s="622"/>
      <c r="I532" s="623"/>
      <c r="J532" s="622" t="s">
        <v>81</v>
      </c>
      <c r="K532" s="622" t="s">
        <v>87</v>
      </c>
      <c r="L532" s="622" t="s">
        <v>91</v>
      </c>
      <c r="M532" s="624">
        <v>0.75</v>
      </c>
      <c r="N532" s="624"/>
      <c r="O532" s="625">
        <v>10000</v>
      </c>
      <c r="P532" s="625"/>
      <c r="Q532" s="626">
        <f t="shared" si="25"/>
        <v>7500</v>
      </c>
      <c r="R532" s="500" t="str">
        <f t="shared" si="26"/>
        <v/>
      </c>
    </row>
    <row r="533" spans="2:18" hidden="1">
      <c r="B533" s="84">
        <v>523</v>
      </c>
      <c r="C533" s="621"/>
      <c r="D533" s="718">
        <f t="shared" si="24"/>
        <v>48</v>
      </c>
      <c r="E533" s="703">
        <v>45262</v>
      </c>
      <c r="F533" s="622"/>
      <c r="G533" s="622"/>
      <c r="H533" s="622"/>
      <c r="I533" s="623"/>
      <c r="J533" s="622" t="s">
        <v>81</v>
      </c>
      <c r="K533" s="622" t="s">
        <v>162</v>
      </c>
      <c r="L533" s="622" t="s">
        <v>163</v>
      </c>
      <c r="M533" s="624">
        <v>17000</v>
      </c>
      <c r="N533" s="624"/>
      <c r="O533" s="625">
        <f>(367+335+280+307)/1000</f>
        <v>1.2889999999999999</v>
      </c>
      <c r="P533" s="625"/>
      <c r="Q533" s="626">
        <f t="shared" si="25"/>
        <v>21913</v>
      </c>
      <c r="R533" s="500" t="str">
        <f t="shared" si="26"/>
        <v/>
      </c>
    </row>
    <row r="534" spans="2:18" hidden="1">
      <c r="B534" s="84">
        <v>524</v>
      </c>
      <c r="C534" s="621"/>
      <c r="D534" s="718">
        <f t="shared" si="24"/>
        <v>49</v>
      </c>
      <c r="E534" s="703">
        <v>45264</v>
      </c>
      <c r="F534" s="622"/>
      <c r="G534" s="622"/>
      <c r="H534" s="622"/>
      <c r="I534" s="623"/>
      <c r="J534" s="622" t="s">
        <v>81</v>
      </c>
      <c r="K534" s="622" t="s">
        <v>461</v>
      </c>
      <c r="L534" s="622" t="s">
        <v>185</v>
      </c>
      <c r="M534" s="624">
        <v>82.584879220000005</v>
      </c>
      <c r="N534" s="624"/>
      <c r="O534" s="625">
        <v>200</v>
      </c>
      <c r="P534" s="625"/>
      <c r="Q534" s="626">
        <f t="shared" si="25"/>
        <v>16516.975844000001</v>
      </c>
      <c r="R534" s="500" t="str">
        <f t="shared" si="26"/>
        <v/>
      </c>
    </row>
    <row r="535" spans="2:18" hidden="1">
      <c r="B535" s="84">
        <v>525</v>
      </c>
      <c r="C535" s="621"/>
      <c r="D535" s="718">
        <f t="shared" si="24"/>
        <v>49</v>
      </c>
      <c r="E535" s="703">
        <v>45265</v>
      </c>
      <c r="F535" s="622"/>
      <c r="G535" s="622"/>
      <c r="H535" s="622"/>
      <c r="I535" s="623"/>
      <c r="J535" s="622" t="s">
        <v>74</v>
      </c>
      <c r="K535" s="622" t="s">
        <v>164</v>
      </c>
      <c r="L535" s="622" t="s">
        <v>165</v>
      </c>
      <c r="M535" s="624"/>
      <c r="N535" s="624">
        <v>82.5</v>
      </c>
      <c r="O535" s="625"/>
      <c r="P535" s="625">
        <f>19+5</f>
        <v>24</v>
      </c>
      <c r="Q535" s="626" t="str">
        <f t="shared" si="25"/>
        <v/>
      </c>
      <c r="R535" s="500">
        <f t="shared" si="26"/>
        <v>1980</v>
      </c>
    </row>
    <row r="536" spans="2:18">
      <c r="B536" s="84">
        <v>526</v>
      </c>
      <c r="C536" s="621" t="s">
        <v>597</v>
      </c>
      <c r="D536" s="718">
        <f t="shared" si="24"/>
        <v>49</v>
      </c>
      <c r="E536" s="703">
        <v>45265</v>
      </c>
      <c r="F536" s="622"/>
      <c r="G536" s="622"/>
      <c r="H536" s="622"/>
      <c r="I536" s="623"/>
      <c r="J536" s="622" t="s">
        <v>74</v>
      </c>
      <c r="K536" s="622" t="s">
        <v>86</v>
      </c>
      <c r="L536" s="622" t="s">
        <v>91</v>
      </c>
      <c r="M536" s="624"/>
      <c r="N536" s="624">
        <v>3.5</v>
      </c>
      <c r="O536" s="625"/>
      <c r="P536" s="625">
        <v>1500</v>
      </c>
      <c r="Q536" s="626" t="str">
        <f t="shared" si="25"/>
        <v/>
      </c>
      <c r="R536" s="500">
        <f t="shared" si="26"/>
        <v>5250</v>
      </c>
    </row>
    <row r="537" spans="2:18" hidden="1">
      <c r="B537" s="84">
        <v>527</v>
      </c>
      <c r="C537" s="621"/>
      <c r="D537" s="718">
        <f t="shared" si="24"/>
        <v>49</v>
      </c>
      <c r="E537" s="703">
        <v>45266</v>
      </c>
      <c r="F537" s="622"/>
      <c r="G537" s="622"/>
      <c r="H537" s="622"/>
      <c r="I537" s="623"/>
      <c r="J537" s="622" t="s">
        <v>74</v>
      </c>
      <c r="K537" s="622" t="s">
        <v>162</v>
      </c>
      <c r="L537" s="622" t="s">
        <v>163</v>
      </c>
      <c r="M537" s="624"/>
      <c r="N537" s="624"/>
      <c r="O537" s="625"/>
      <c r="P537" s="625">
        <f>110/1000</f>
        <v>0.11</v>
      </c>
      <c r="Q537" s="626" t="str">
        <f t="shared" si="25"/>
        <v/>
      </c>
      <c r="R537" s="500" t="str">
        <f t="shared" si="26"/>
        <v/>
      </c>
    </row>
    <row r="538" spans="2:18" hidden="1">
      <c r="B538" s="84">
        <v>528</v>
      </c>
      <c r="C538" s="621" t="s">
        <v>583</v>
      </c>
      <c r="D538" s="718">
        <f t="shared" si="24"/>
        <v>49</v>
      </c>
      <c r="E538" s="703">
        <v>45267</v>
      </c>
      <c r="F538" s="622"/>
      <c r="G538" s="622"/>
      <c r="H538" s="622"/>
      <c r="I538" s="623"/>
      <c r="J538" s="622" t="s">
        <v>74</v>
      </c>
      <c r="K538" s="622" t="s">
        <v>85</v>
      </c>
      <c r="L538" s="622" t="s">
        <v>91</v>
      </c>
      <c r="M538" s="624"/>
      <c r="N538" s="624">
        <v>2</v>
      </c>
      <c r="O538" s="625"/>
      <c r="P538" s="625">
        <f>(2500+13770+12950+14150+14150)</f>
        <v>57520</v>
      </c>
      <c r="Q538" s="626" t="str">
        <f t="shared" si="25"/>
        <v/>
      </c>
      <c r="R538" s="500">
        <f t="shared" si="26"/>
        <v>115040</v>
      </c>
    </row>
    <row r="539" spans="2:18" hidden="1">
      <c r="B539" s="84">
        <v>529</v>
      </c>
      <c r="C539" s="621"/>
      <c r="D539" s="718">
        <f t="shared" si="24"/>
        <v>49</v>
      </c>
      <c r="E539" s="703">
        <v>45267</v>
      </c>
      <c r="F539" s="622"/>
      <c r="G539" s="622"/>
      <c r="H539" s="622"/>
      <c r="I539" s="623"/>
      <c r="J539" s="622" t="s">
        <v>74</v>
      </c>
      <c r="K539" s="622" t="s">
        <v>162</v>
      </c>
      <c r="L539" s="622" t="s">
        <v>163</v>
      </c>
      <c r="M539" s="624"/>
      <c r="N539" s="624">
        <v>25000</v>
      </c>
      <c r="O539" s="625"/>
      <c r="P539" s="608">
        <f>(200+300+200)/1000</f>
        <v>0.7</v>
      </c>
      <c r="Q539" s="626" t="str">
        <f t="shared" si="25"/>
        <v/>
      </c>
      <c r="R539" s="500">
        <f t="shared" si="26"/>
        <v>17500</v>
      </c>
    </row>
    <row r="540" spans="2:18" hidden="1">
      <c r="B540" s="84">
        <v>530</v>
      </c>
      <c r="C540" s="621" t="s">
        <v>584</v>
      </c>
      <c r="D540" s="718">
        <f t="shared" si="24"/>
        <v>49</v>
      </c>
      <c r="E540" s="703">
        <v>45268</v>
      </c>
      <c r="F540" s="622"/>
      <c r="G540" s="622"/>
      <c r="H540" s="622"/>
      <c r="I540" s="623"/>
      <c r="J540" s="622" t="s">
        <v>74</v>
      </c>
      <c r="K540" s="622" t="s">
        <v>85</v>
      </c>
      <c r="L540" s="622" t="s">
        <v>91</v>
      </c>
      <c r="M540" s="624"/>
      <c r="N540" s="624">
        <v>2</v>
      </c>
      <c r="O540" s="625"/>
      <c r="P540" s="625">
        <f>11880</f>
        <v>11880</v>
      </c>
      <c r="Q540" s="626" t="str">
        <f t="shared" si="25"/>
        <v/>
      </c>
      <c r="R540" s="500">
        <f t="shared" si="26"/>
        <v>23760</v>
      </c>
    </row>
    <row r="541" spans="2:18" hidden="1">
      <c r="B541" s="84">
        <v>531</v>
      </c>
      <c r="C541" s="621"/>
      <c r="D541" s="718">
        <f t="shared" si="24"/>
        <v>49</v>
      </c>
      <c r="E541" s="703">
        <v>45268</v>
      </c>
      <c r="F541" s="622"/>
      <c r="G541" s="622"/>
      <c r="H541" s="622"/>
      <c r="I541" s="623"/>
      <c r="J541" s="622" t="s">
        <v>81</v>
      </c>
      <c r="K541" s="622" t="s">
        <v>162</v>
      </c>
      <c r="L541" s="622" t="s">
        <v>163</v>
      </c>
      <c r="M541" s="624">
        <v>17000</v>
      </c>
      <c r="N541" s="624"/>
      <c r="O541" s="625">
        <f>(435+352+407+185)/1000</f>
        <v>1.379</v>
      </c>
      <c r="P541" s="625"/>
      <c r="Q541" s="626">
        <f t="shared" si="25"/>
        <v>23443</v>
      </c>
      <c r="R541" s="500" t="str">
        <f t="shared" si="26"/>
        <v/>
      </c>
    </row>
    <row r="542" spans="2:18" hidden="1">
      <c r="B542" s="84">
        <v>532</v>
      </c>
      <c r="C542" s="632" t="s">
        <v>600</v>
      </c>
      <c r="D542" s="718">
        <f t="shared" si="24"/>
        <v>50</v>
      </c>
      <c r="E542" s="704">
        <v>45272</v>
      </c>
      <c r="F542" s="627" t="s">
        <v>112</v>
      </c>
      <c r="G542" s="627" t="s">
        <v>114</v>
      </c>
      <c r="H542" s="627" t="s">
        <v>114</v>
      </c>
      <c r="I542" s="85" t="s">
        <v>636</v>
      </c>
      <c r="J542" s="627" t="s">
        <v>74</v>
      </c>
      <c r="K542" s="627" t="s">
        <v>56</v>
      </c>
      <c r="L542" s="627" t="s">
        <v>91</v>
      </c>
      <c r="M542" s="628"/>
      <c r="N542" s="628">
        <v>40</v>
      </c>
      <c r="O542" s="629"/>
      <c r="P542" s="629">
        <v>960</v>
      </c>
      <c r="Q542" s="630" t="str">
        <f t="shared" si="25"/>
        <v/>
      </c>
      <c r="R542" s="500">
        <f t="shared" si="26"/>
        <v>38400</v>
      </c>
    </row>
    <row r="543" spans="2:18" hidden="1">
      <c r="B543" s="84">
        <v>533</v>
      </c>
      <c r="C543" s="632"/>
      <c r="D543" s="718">
        <f t="shared" si="24"/>
        <v>50</v>
      </c>
      <c r="E543" s="704">
        <v>45273</v>
      </c>
      <c r="F543" s="627"/>
      <c r="G543" s="627"/>
      <c r="H543" s="627"/>
      <c r="I543" s="631"/>
      <c r="J543" s="627" t="s">
        <v>74</v>
      </c>
      <c r="K543" s="627" t="s">
        <v>164</v>
      </c>
      <c r="L543" s="627" t="s">
        <v>165</v>
      </c>
      <c r="M543" s="628"/>
      <c r="N543" s="628">
        <v>82.5</v>
      </c>
      <c r="O543" s="629"/>
      <c r="P543" s="629">
        <v>19</v>
      </c>
      <c r="Q543" s="630" t="str">
        <f t="shared" si="25"/>
        <v/>
      </c>
      <c r="R543" s="500">
        <f t="shared" si="26"/>
        <v>1567.5</v>
      </c>
    </row>
    <row r="544" spans="2:18" hidden="1">
      <c r="B544" s="84">
        <v>534</v>
      </c>
      <c r="C544" s="632" t="s">
        <v>598</v>
      </c>
      <c r="D544" s="718">
        <f t="shared" si="24"/>
        <v>50</v>
      </c>
      <c r="E544" s="704">
        <v>45274</v>
      </c>
      <c r="F544" s="627"/>
      <c r="G544" s="627"/>
      <c r="H544" s="627"/>
      <c r="I544" s="631"/>
      <c r="J544" s="627" t="s">
        <v>74</v>
      </c>
      <c r="K544" s="627" t="s">
        <v>85</v>
      </c>
      <c r="L544" s="627" t="s">
        <v>91</v>
      </c>
      <c r="M544" s="628"/>
      <c r="N544" s="628">
        <v>2</v>
      </c>
      <c r="O544" s="629"/>
      <c r="P544" s="629">
        <f>13370+13200+15500</f>
        <v>42070</v>
      </c>
      <c r="Q544" s="630" t="str">
        <f t="shared" si="25"/>
        <v/>
      </c>
      <c r="R544" s="500">
        <f t="shared" si="26"/>
        <v>84140</v>
      </c>
    </row>
    <row r="545" spans="2:18" hidden="1">
      <c r="B545" s="84">
        <v>535</v>
      </c>
      <c r="C545" s="632" t="s">
        <v>599</v>
      </c>
      <c r="D545" s="718">
        <f t="shared" si="24"/>
        <v>50</v>
      </c>
      <c r="E545" s="704">
        <v>45274</v>
      </c>
      <c r="F545" s="627"/>
      <c r="G545" s="627"/>
      <c r="H545" s="627"/>
      <c r="I545" s="631"/>
      <c r="J545" s="627" t="s">
        <v>74</v>
      </c>
      <c r="K545" s="627" t="s">
        <v>85</v>
      </c>
      <c r="L545" s="627" t="s">
        <v>91</v>
      </c>
      <c r="M545" s="628"/>
      <c r="N545" s="628">
        <v>2</v>
      </c>
      <c r="O545" s="629"/>
      <c r="P545" s="629">
        <v>8500</v>
      </c>
      <c r="Q545" s="630" t="str">
        <f t="shared" si="25"/>
        <v/>
      </c>
      <c r="R545" s="500">
        <f t="shared" si="26"/>
        <v>17000</v>
      </c>
    </row>
    <row r="546" spans="2:18" hidden="1">
      <c r="B546" s="84">
        <v>536</v>
      </c>
      <c r="C546" s="632"/>
      <c r="D546" s="718">
        <f t="shared" si="24"/>
        <v>50</v>
      </c>
      <c r="E546" s="704">
        <v>45274</v>
      </c>
      <c r="F546" s="627"/>
      <c r="G546" s="627"/>
      <c r="H546" s="627"/>
      <c r="I546" s="631"/>
      <c r="J546" s="627" t="s">
        <v>81</v>
      </c>
      <c r="K546" s="627" t="s">
        <v>461</v>
      </c>
      <c r="L546" s="627" t="s">
        <v>185</v>
      </c>
      <c r="M546" s="628">
        <v>82.584879220000005</v>
      </c>
      <c r="N546" s="628"/>
      <c r="O546" s="629">
        <v>400</v>
      </c>
      <c r="P546" s="629"/>
      <c r="Q546" s="630">
        <f t="shared" si="25"/>
        <v>33033.951688000001</v>
      </c>
      <c r="R546" s="500" t="str">
        <f t="shared" si="26"/>
        <v/>
      </c>
    </row>
    <row r="547" spans="2:18" hidden="1">
      <c r="B547" s="84">
        <v>537</v>
      </c>
      <c r="C547" s="632">
        <v>689</v>
      </c>
      <c r="D547" s="718">
        <f t="shared" si="24"/>
        <v>50</v>
      </c>
      <c r="E547" s="704">
        <v>45274</v>
      </c>
      <c r="F547" s="627"/>
      <c r="G547" s="627"/>
      <c r="H547" s="627"/>
      <c r="I547" s="631"/>
      <c r="J547" s="627" t="s">
        <v>74</v>
      </c>
      <c r="K547" s="627" t="s">
        <v>652</v>
      </c>
      <c r="L547" s="627" t="s">
        <v>185</v>
      </c>
      <c r="M547" s="628"/>
      <c r="N547" s="628">
        <v>299</v>
      </c>
      <c r="O547" s="629"/>
      <c r="P547" s="629">
        <v>1000</v>
      </c>
      <c r="Q547" s="630" t="str">
        <f t="shared" si="25"/>
        <v/>
      </c>
      <c r="R547" s="500">
        <f t="shared" si="26"/>
        <v>299000</v>
      </c>
    </row>
    <row r="548" spans="2:18" hidden="1">
      <c r="B548" s="84">
        <v>538</v>
      </c>
      <c r="C548" s="638"/>
      <c r="D548" s="718">
        <f t="shared" si="24"/>
        <v>50</v>
      </c>
      <c r="E548" s="705">
        <v>45274</v>
      </c>
      <c r="F548" s="633"/>
      <c r="G548" s="633"/>
      <c r="H548" s="633"/>
      <c r="I548" s="634"/>
      <c r="J548" s="633" t="s">
        <v>74</v>
      </c>
      <c r="K548" s="633" t="s">
        <v>162</v>
      </c>
      <c r="L548" s="633" t="s">
        <v>163</v>
      </c>
      <c r="M548" s="635"/>
      <c r="N548" s="635">
        <v>25000</v>
      </c>
      <c r="O548" s="636"/>
      <c r="P548" s="636">
        <f>(250+150+250+300+300)/1000</f>
        <v>1.25</v>
      </c>
      <c r="Q548" s="637" t="str">
        <f t="shared" si="25"/>
        <v/>
      </c>
      <c r="R548" s="500">
        <f t="shared" si="26"/>
        <v>31250</v>
      </c>
    </row>
    <row r="549" spans="2:18" hidden="1">
      <c r="B549" s="84">
        <v>539</v>
      </c>
      <c r="C549" s="638" t="s">
        <v>601</v>
      </c>
      <c r="D549" s="718">
        <f t="shared" si="24"/>
        <v>50</v>
      </c>
      <c r="E549" s="705">
        <v>45275</v>
      </c>
      <c r="F549" s="633"/>
      <c r="G549" s="633"/>
      <c r="H549" s="633"/>
      <c r="I549" s="326" t="s">
        <v>617</v>
      </c>
      <c r="J549" s="633" t="s">
        <v>74</v>
      </c>
      <c r="K549" s="633" t="s">
        <v>56</v>
      </c>
      <c r="L549" s="633" t="s">
        <v>91</v>
      </c>
      <c r="M549" s="635"/>
      <c r="N549" s="635">
        <v>40</v>
      </c>
      <c r="O549" s="636"/>
      <c r="P549" s="636">
        <v>60</v>
      </c>
      <c r="Q549" s="637" t="str">
        <f t="shared" si="25"/>
        <v/>
      </c>
      <c r="R549" s="500">
        <f t="shared" si="26"/>
        <v>2400</v>
      </c>
    </row>
    <row r="550" spans="2:18" hidden="1">
      <c r="B550" s="84">
        <v>540</v>
      </c>
      <c r="C550" s="638">
        <v>690</v>
      </c>
      <c r="D550" s="718">
        <f t="shared" si="24"/>
        <v>50</v>
      </c>
      <c r="E550" s="705">
        <v>45275</v>
      </c>
      <c r="F550" s="633"/>
      <c r="G550" s="633"/>
      <c r="H550" s="633"/>
      <c r="I550" s="326" t="s">
        <v>617</v>
      </c>
      <c r="J550" s="633" t="s">
        <v>74</v>
      </c>
      <c r="K550" s="633" t="s">
        <v>461</v>
      </c>
      <c r="L550" s="633" t="s">
        <v>185</v>
      </c>
      <c r="M550" s="635"/>
      <c r="N550" s="635"/>
      <c r="O550" s="636"/>
      <c r="P550" s="636">
        <v>20</v>
      </c>
      <c r="Q550" s="637" t="str">
        <f t="shared" si="25"/>
        <v/>
      </c>
      <c r="R550" s="500" t="str">
        <f t="shared" si="26"/>
        <v/>
      </c>
    </row>
    <row r="551" spans="2:18" hidden="1">
      <c r="B551" s="84">
        <v>541</v>
      </c>
      <c r="C551" s="638">
        <v>690</v>
      </c>
      <c r="D551" s="718">
        <f t="shared" si="24"/>
        <v>50</v>
      </c>
      <c r="E551" s="705">
        <v>45275</v>
      </c>
      <c r="F551" s="633"/>
      <c r="G551" s="633"/>
      <c r="H551" s="633"/>
      <c r="I551" s="634"/>
      <c r="J551" s="633" t="s">
        <v>74</v>
      </c>
      <c r="K551" s="633" t="s">
        <v>166</v>
      </c>
      <c r="L551" s="633" t="s">
        <v>185</v>
      </c>
      <c r="M551" s="635"/>
      <c r="N551" s="635"/>
      <c r="O551" s="636"/>
      <c r="P551" s="636">
        <v>20</v>
      </c>
      <c r="Q551" s="637" t="str">
        <f t="shared" si="25"/>
        <v/>
      </c>
      <c r="R551" s="500" t="str">
        <f t="shared" si="26"/>
        <v/>
      </c>
    </row>
    <row r="552" spans="2:18" hidden="1">
      <c r="B552" s="84">
        <v>542</v>
      </c>
      <c r="C552" s="638"/>
      <c r="D552" s="718">
        <f t="shared" si="24"/>
        <v>50</v>
      </c>
      <c r="E552" s="705">
        <v>45276</v>
      </c>
      <c r="F552" s="633"/>
      <c r="G552" s="633"/>
      <c r="H552" s="633"/>
      <c r="I552" s="634"/>
      <c r="J552" s="633" t="s">
        <v>81</v>
      </c>
      <c r="K552" s="633" t="s">
        <v>85</v>
      </c>
      <c r="L552" s="633" t="s">
        <v>91</v>
      </c>
      <c r="M552" s="635">
        <v>1.25</v>
      </c>
      <c r="N552" s="635"/>
      <c r="O552" s="636">
        <v>50000</v>
      </c>
      <c r="P552" s="636"/>
      <c r="Q552" s="637">
        <f t="shared" si="25"/>
        <v>62500</v>
      </c>
      <c r="R552" s="500" t="str">
        <f t="shared" si="26"/>
        <v/>
      </c>
    </row>
    <row r="553" spans="2:18" hidden="1">
      <c r="B553" s="84">
        <v>543</v>
      </c>
      <c r="C553" s="638"/>
      <c r="D553" s="718">
        <f t="shared" si="24"/>
        <v>50</v>
      </c>
      <c r="E553" s="705">
        <v>45276</v>
      </c>
      <c r="F553" s="633"/>
      <c r="G553" s="633"/>
      <c r="H553" s="633"/>
      <c r="I553" s="634"/>
      <c r="J553" s="633" t="s">
        <v>81</v>
      </c>
      <c r="K553" s="633" t="s">
        <v>162</v>
      </c>
      <c r="L553" s="633" t="s">
        <v>163</v>
      </c>
      <c r="M553" s="635">
        <v>17000</v>
      </c>
      <c r="N553" s="635"/>
      <c r="O553" s="636">
        <f>(333+252+286+222)/1000</f>
        <v>1.093</v>
      </c>
      <c r="P553" s="636"/>
      <c r="Q553" s="637">
        <f t="shared" si="25"/>
        <v>18581</v>
      </c>
      <c r="R553" s="500" t="str">
        <f t="shared" si="26"/>
        <v/>
      </c>
    </row>
    <row r="554" spans="2:18" hidden="1">
      <c r="B554" s="84">
        <v>544</v>
      </c>
      <c r="C554" s="645" t="s">
        <v>603</v>
      </c>
      <c r="D554" s="718">
        <f t="shared" si="24"/>
        <v>51</v>
      </c>
      <c r="E554" s="706">
        <v>45278</v>
      </c>
      <c r="F554" s="639"/>
      <c r="G554" s="639"/>
      <c r="H554" s="639"/>
      <c r="I554" s="640"/>
      <c r="J554" s="639" t="s">
        <v>74</v>
      </c>
      <c r="K554" s="639" t="s">
        <v>87</v>
      </c>
      <c r="L554" s="639" t="s">
        <v>91</v>
      </c>
      <c r="M554" s="641"/>
      <c r="N554" s="641">
        <v>1.2</v>
      </c>
      <c r="O554" s="642"/>
      <c r="P554" s="642">
        <v>160</v>
      </c>
      <c r="Q554" s="643" t="str">
        <f t="shared" si="25"/>
        <v/>
      </c>
      <c r="R554" s="500">
        <f t="shared" si="26"/>
        <v>192</v>
      </c>
    </row>
    <row r="555" spans="2:18" hidden="1">
      <c r="B555" s="84">
        <v>545</v>
      </c>
      <c r="C555" s="645"/>
      <c r="D555" s="718">
        <f t="shared" si="24"/>
        <v>51</v>
      </c>
      <c r="E555" s="706">
        <v>45279</v>
      </c>
      <c r="F555" s="639"/>
      <c r="G555" s="639"/>
      <c r="H555" s="639"/>
      <c r="I555" s="640"/>
      <c r="J555" s="639" t="s">
        <v>74</v>
      </c>
      <c r="K555" s="639" t="s">
        <v>162</v>
      </c>
      <c r="L555" s="639" t="s">
        <v>163</v>
      </c>
      <c r="M555" s="641"/>
      <c r="N555" s="641">
        <v>42000</v>
      </c>
      <c r="O555" s="642"/>
      <c r="P555" s="642">
        <f>500/1000</f>
        <v>0.5</v>
      </c>
      <c r="Q555" s="643" t="str">
        <f t="shared" si="25"/>
        <v/>
      </c>
      <c r="R555" s="500">
        <f t="shared" si="26"/>
        <v>21000</v>
      </c>
    </row>
    <row r="556" spans="2:18" hidden="1">
      <c r="B556" s="84">
        <v>546</v>
      </c>
      <c r="C556" s="645"/>
      <c r="D556" s="718">
        <f t="shared" si="24"/>
        <v>51</v>
      </c>
      <c r="E556" s="706">
        <v>45280</v>
      </c>
      <c r="F556" s="639"/>
      <c r="G556" s="639"/>
      <c r="H556" s="639"/>
      <c r="I556" s="640"/>
      <c r="J556" s="639" t="s">
        <v>74</v>
      </c>
      <c r="K556" s="639" t="s">
        <v>162</v>
      </c>
      <c r="L556" s="639" t="s">
        <v>163</v>
      </c>
      <c r="M556" s="641"/>
      <c r="N556" s="641"/>
      <c r="O556" s="642"/>
      <c r="P556" s="642">
        <f>(110/1000)</f>
        <v>0.11</v>
      </c>
      <c r="Q556" s="643" t="str">
        <f t="shared" si="25"/>
        <v/>
      </c>
      <c r="R556" s="500" t="str">
        <f t="shared" si="26"/>
        <v/>
      </c>
    </row>
    <row r="557" spans="2:18" hidden="1">
      <c r="B557" s="84">
        <v>547</v>
      </c>
      <c r="C557" s="645" t="s">
        <v>604</v>
      </c>
      <c r="D557" s="718">
        <f t="shared" si="24"/>
        <v>51</v>
      </c>
      <c r="E557" s="706">
        <v>45281</v>
      </c>
      <c r="F557" s="639"/>
      <c r="G557" s="639"/>
      <c r="H557" s="639"/>
      <c r="I557" s="640"/>
      <c r="J557" s="639" t="s">
        <v>74</v>
      </c>
      <c r="K557" s="639" t="s">
        <v>87</v>
      </c>
      <c r="L557" s="639" t="s">
        <v>91</v>
      </c>
      <c r="M557" s="641"/>
      <c r="N557" s="641"/>
      <c r="O557" s="642"/>
      <c r="P557" s="642">
        <v>20</v>
      </c>
      <c r="Q557" s="643" t="str">
        <f t="shared" si="25"/>
        <v/>
      </c>
      <c r="R557" s="500" t="str">
        <f t="shared" si="26"/>
        <v/>
      </c>
    </row>
    <row r="558" spans="2:18" hidden="1">
      <c r="B558" s="84">
        <v>548</v>
      </c>
      <c r="C558" s="645"/>
      <c r="D558" s="718">
        <f t="shared" si="24"/>
        <v>51</v>
      </c>
      <c r="E558" s="706">
        <v>45281</v>
      </c>
      <c r="F558" s="639"/>
      <c r="G558" s="639"/>
      <c r="H558" s="639"/>
      <c r="I558" s="640"/>
      <c r="J558" s="639" t="s">
        <v>74</v>
      </c>
      <c r="K558" s="639" t="s">
        <v>164</v>
      </c>
      <c r="L558" s="639" t="s">
        <v>165</v>
      </c>
      <c r="M558" s="641"/>
      <c r="N558" s="641"/>
      <c r="O558" s="642"/>
      <c r="P558" s="644">
        <v>4</v>
      </c>
      <c r="Q558" s="499" t="str">
        <f t="shared" si="25"/>
        <v/>
      </c>
      <c r="R558" s="500" t="str">
        <f t="shared" si="26"/>
        <v/>
      </c>
    </row>
    <row r="559" spans="2:18" hidden="1">
      <c r="B559" s="84">
        <v>549</v>
      </c>
      <c r="C559" s="645"/>
      <c r="D559" s="718">
        <f t="shared" si="24"/>
        <v>51</v>
      </c>
      <c r="E559" s="706">
        <v>45281</v>
      </c>
      <c r="F559" s="639"/>
      <c r="G559" s="639"/>
      <c r="H559" s="639"/>
      <c r="I559" s="640"/>
      <c r="J559" s="639" t="s">
        <v>74</v>
      </c>
      <c r="K559" s="639" t="s">
        <v>162</v>
      </c>
      <c r="L559" s="639" t="s">
        <v>163</v>
      </c>
      <c r="M559" s="641"/>
      <c r="N559" s="641">
        <v>25000</v>
      </c>
      <c r="O559" s="642"/>
      <c r="P559" s="642">
        <f>(150+500+250)/1000</f>
        <v>0.9</v>
      </c>
      <c r="Q559" s="643" t="str">
        <f t="shared" si="25"/>
        <v/>
      </c>
      <c r="R559" s="500">
        <f t="shared" si="26"/>
        <v>22500</v>
      </c>
    </row>
    <row r="560" spans="2:18" hidden="1">
      <c r="B560" s="84">
        <v>550</v>
      </c>
      <c r="C560" s="645" t="s">
        <v>602</v>
      </c>
      <c r="D560" s="718">
        <f t="shared" si="24"/>
        <v>51</v>
      </c>
      <c r="E560" s="706">
        <v>45282</v>
      </c>
      <c r="F560" s="639"/>
      <c r="G560" s="639"/>
      <c r="H560" s="639"/>
      <c r="I560" s="640"/>
      <c r="J560" s="639" t="s">
        <v>74</v>
      </c>
      <c r="K560" s="639" t="s">
        <v>85</v>
      </c>
      <c r="L560" s="639" t="s">
        <v>91</v>
      </c>
      <c r="M560" s="641"/>
      <c r="N560" s="641">
        <v>2</v>
      </c>
      <c r="O560" s="642"/>
      <c r="P560" s="642">
        <v>8000</v>
      </c>
      <c r="Q560" s="643" t="str">
        <f t="shared" si="25"/>
        <v/>
      </c>
      <c r="R560" s="500">
        <f t="shared" si="26"/>
        <v>16000</v>
      </c>
    </row>
    <row r="561" spans="2:18" hidden="1">
      <c r="B561" s="84">
        <v>551</v>
      </c>
      <c r="C561" s="645"/>
      <c r="D561" s="718">
        <f t="shared" si="24"/>
        <v>51</v>
      </c>
      <c r="E561" s="706">
        <v>45282</v>
      </c>
      <c r="F561" s="639"/>
      <c r="G561" s="639"/>
      <c r="H561" s="639"/>
      <c r="I561" s="640"/>
      <c r="J561" s="639" t="s">
        <v>74</v>
      </c>
      <c r="K561" s="639" t="s">
        <v>164</v>
      </c>
      <c r="L561" s="639" t="s">
        <v>165</v>
      </c>
      <c r="M561" s="641"/>
      <c r="N561" s="641">
        <v>82.5</v>
      </c>
      <c r="O561" s="642"/>
      <c r="P561" s="642">
        <f>60+57</f>
        <v>117</v>
      </c>
      <c r="Q561" s="643" t="str">
        <f t="shared" si="25"/>
        <v/>
      </c>
      <c r="R561" s="500">
        <f t="shared" si="26"/>
        <v>9652.5</v>
      </c>
    </row>
    <row r="562" spans="2:18" hidden="1">
      <c r="B562" s="84">
        <v>552</v>
      </c>
      <c r="C562" s="645"/>
      <c r="D562" s="718">
        <f t="shared" si="24"/>
        <v>51</v>
      </c>
      <c r="E562" s="706">
        <v>45283</v>
      </c>
      <c r="F562" s="639"/>
      <c r="G562" s="639"/>
      <c r="H562" s="639"/>
      <c r="I562" s="640"/>
      <c r="J562" s="639" t="s">
        <v>81</v>
      </c>
      <c r="K562" s="639" t="s">
        <v>162</v>
      </c>
      <c r="L562" s="639" t="s">
        <v>163</v>
      </c>
      <c r="M562" s="641">
        <v>17000</v>
      </c>
      <c r="N562" s="641"/>
      <c r="O562" s="642">
        <f>(368+235+400+157)/1000</f>
        <v>1.1599999999999999</v>
      </c>
      <c r="P562" s="642"/>
      <c r="Q562" s="643">
        <f t="shared" si="25"/>
        <v>19720</v>
      </c>
      <c r="R562" s="500" t="str">
        <f t="shared" si="26"/>
        <v/>
      </c>
    </row>
    <row r="563" spans="2:18" hidden="1">
      <c r="B563" s="84">
        <v>553</v>
      </c>
      <c r="C563" s="1273" t="s">
        <v>605</v>
      </c>
      <c r="D563" s="718">
        <f t="shared" si="24"/>
        <v>52</v>
      </c>
      <c r="E563" s="707">
        <v>45287</v>
      </c>
      <c r="F563" s="646"/>
      <c r="G563" s="646"/>
      <c r="H563" s="646"/>
      <c r="I563" s="647"/>
      <c r="J563" s="646" t="s">
        <v>74</v>
      </c>
      <c r="K563" s="646" t="s">
        <v>85</v>
      </c>
      <c r="L563" s="646" t="s">
        <v>91</v>
      </c>
      <c r="M563" s="648"/>
      <c r="N563" s="648">
        <v>2</v>
      </c>
      <c r="O563" s="649"/>
      <c r="P563" s="649">
        <v>13500</v>
      </c>
      <c r="Q563" s="650" t="str">
        <f t="shared" si="25"/>
        <v/>
      </c>
      <c r="R563" s="500">
        <f t="shared" si="26"/>
        <v>27000</v>
      </c>
    </row>
    <row r="564" spans="2:18" hidden="1">
      <c r="B564" s="84">
        <v>554</v>
      </c>
      <c r="C564" s="1273"/>
      <c r="D564" s="718">
        <f t="shared" si="24"/>
        <v>52</v>
      </c>
      <c r="E564" s="707">
        <v>45288</v>
      </c>
      <c r="F564" s="646"/>
      <c r="G564" s="646"/>
      <c r="H564" s="646"/>
      <c r="I564" s="647"/>
      <c r="J564" s="646" t="s">
        <v>74</v>
      </c>
      <c r="K564" s="646" t="s">
        <v>162</v>
      </c>
      <c r="L564" s="646" t="s">
        <v>163</v>
      </c>
      <c r="M564" s="648"/>
      <c r="N564" s="648">
        <v>25000</v>
      </c>
      <c r="O564" s="649"/>
      <c r="P564" s="649">
        <f>(500+100+350+350)/1000</f>
        <v>1.3</v>
      </c>
      <c r="Q564" s="650" t="str">
        <f t="shared" si="25"/>
        <v/>
      </c>
      <c r="R564" s="500">
        <f t="shared" si="26"/>
        <v>32500</v>
      </c>
    </row>
    <row r="565" spans="2:18" hidden="1">
      <c r="B565" s="84">
        <v>555</v>
      </c>
      <c r="C565" s="1273"/>
      <c r="D565" s="718">
        <f t="shared" si="24"/>
        <v>52</v>
      </c>
      <c r="E565" s="707">
        <v>45288</v>
      </c>
      <c r="F565" s="646"/>
      <c r="G565" s="646"/>
      <c r="H565" s="646"/>
      <c r="I565" s="647"/>
      <c r="J565" s="646" t="s">
        <v>74</v>
      </c>
      <c r="K565" s="646" t="s">
        <v>87</v>
      </c>
      <c r="L565" s="646" t="s">
        <v>91</v>
      </c>
      <c r="M565" s="648"/>
      <c r="N565" s="648">
        <v>1.2</v>
      </c>
      <c r="O565" s="649"/>
      <c r="P565" s="601">
        <v>80</v>
      </c>
      <c r="Q565" s="499" t="str">
        <f t="shared" si="25"/>
        <v/>
      </c>
      <c r="R565" s="500">
        <f t="shared" si="26"/>
        <v>96</v>
      </c>
    </row>
    <row r="566" spans="2:18">
      <c r="B566" s="84">
        <v>556</v>
      </c>
      <c r="C566" s="1273"/>
      <c r="D566" s="718">
        <f t="shared" si="24"/>
        <v>52</v>
      </c>
      <c r="E566" s="707">
        <v>45288</v>
      </c>
      <c r="F566" s="646"/>
      <c r="G566" s="646"/>
      <c r="H566" s="646"/>
      <c r="I566" s="647"/>
      <c r="J566" s="646" t="s">
        <v>74</v>
      </c>
      <c r="K566" s="646" t="s">
        <v>86</v>
      </c>
      <c r="L566" s="646" t="s">
        <v>91</v>
      </c>
      <c r="M566" s="648"/>
      <c r="N566" s="648">
        <v>3.5</v>
      </c>
      <c r="O566" s="649"/>
      <c r="P566" s="649">
        <v>180</v>
      </c>
      <c r="Q566" s="650" t="str">
        <f t="shared" si="25"/>
        <v/>
      </c>
      <c r="R566" s="500">
        <f t="shared" si="26"/>
        <v>630</v>
      </c>
    </row>
    <row r="567" spans="2:18" hidden="1">
      <c r="B567" s="84">
        <v>557</v>
      </c>
      <c r="C567" s="498"/>
      <c r="D567" s="718">
        <f t="shared" si="24"/>
        <v>52</v>
      </c>
      <c r="E567" s="708">
        <v>45289</v>
      </c>
      <c r="F567" s="651"/>
      <c r="G567" s="651"/>
      <c r="H567" s="651"/>
      <c r="I567" s="652"/>
      <c r="J567" s="651" t="s">
        <v>74</v>
      </c>
      <c r="K567" s="651" t="s">
        <v>164</v>
      </c>
      <c r="L567" s="651" t="s">
        <v>165</v>
      </c>
      <c r="M567" s="653"/>
      <c r="N567" s="653"/>
      <c r="O567" s="654"/>
      <c r="P567" s="655">
        <f>1</f>
        <v>1</v>
      </c>
      <c r="Q567" s="656" t="str">
        <f t="shared" si="25"/>
        <v/>
      </c>
      <c r="R567" s="657" t="str">
        <f t="shared" si="26"/>
        <v/>
      </c>
    </row>
    <row r="568" spans="2:18" hidden="1">
      <c r="B568" s="84">
        <v>558</v>
      </c>
      <c r="C568" s="658"/>
      <c r="D568" s="718">
        <f t="shared" si="24"/>
        <v>52</v>
      </c>
      <c r="E568" s="708">
        <v>45289</v>
      </c>
      <c r="F568" s="651"/>
      <c r="G568" s="651"/>
      <c r="H568" s="651"/>
      <c r="I568" s="652"/>
      <c r="J568" s="651" t="s">
        <v>74</v>
      </c>
      <c r="K568" s="651" t="s">
        <v>164</v>
      </c>
      <c r="L568" s="651" t="s">
        <v>165</v>
      </c>
      <c r="M568" s="653"/>
      <c r="N568" s="653">
        <v>82.5</v>
      </c>
      <c r="O568" s="654"/>
      <c r="P568" s="654">
        <v>60</v>
      </c>
      <c r="Q568" s="656" t="str">
        <f t="shared" si="25"/>
        <v/>
      </c>
      <c r="R568" s="657">
        <f t="shared" si="26"/>
        <v>4950</v>
      </c>
    </row>
    <row r="569" spans="2:18" hidden="1">
      <c r="B569" s="84">
        <v>559</v>
      </c>
      <c r="C569" s="658"/>
      <c r="D569" s="718">
        <f t="shared" si="24"/>
        <v>52</v>
      </c>
      <c r="E569" s="708">
        <v>45290</v>
      </c>
      <c r="F569" s="651"/>
      <c r="G569" s="651"/>
      <c r="H569" s="651"/>
      <c r="I569" s="652"/>
      <c r="J569" s="651" t="s">
        <v>81</v>
      </c>
      <c r="K569" s="651" t="s">
        <v>162</v>
      </c>
      <c r="L569" s="651" t="s">
        <v>163</v>
      </c>
      <c r="M569" s="653">
        <v>17000</v>
      </c>
      <c r="N569" s="653"/>
      <c r="O569" s="654">
        <f>(340+183+255+222)/1000</f>
        <v>1</v>
      </c>
      <c r="P569" s="654"/>
      <c r="Q569" s="656">
        <f t="shared" si="25"/>
        <v>17000</v>
      </c>
      <c r="R569" s="657" t="str">
        <f t="shared" si="26"/>
        <v/>
      </c>
    </row>
  </sheetData>
  <sortState xmlns:xlrd2="http://schemas.microsoft.com/office/spreadsheetml/2017/richdata2" ref="B11:R82">
    <sortCondition ref="E11:E82"/>
  </sortState>
  <phoneticPr fontId="24" type="noConversion"/>
  <dataValidations count="5">
    <dataValidation type="list" allowBlank="1" showInputMessage="1" showErrorMessage="1" sqref="F11:F569" xr:uid="{917F1033-4D8D-41D7-88D2-CB806E73625F}">
      <formula1>INDIRECT("CLIENTE")</formula1>
    </dataValidation>
    <dataValidation type="list" allowBlank="1" showInputMessage="1" showErrorMessage="1" sqref="K11:K569" xr:uid="{8FE165F2-C3A7-468B-BBF1-38443F600102}">
      <formula1>INDIRECT("Concepto")</formula1>
    </dataValidation>
    <dataValidation type="list" allowBlank="1" showInputMessage="1" showErrorMessage="1" sqref="J11:J569" xr:uid="{5F85BDA5-A2CD-4AA1-B8E9-D84F26694ED1}">
      <formula1>INDIRECT("Proceso")</formula1>
    </dataValidation>
    <dataValidation type="list" allowBlank="1" showInputMessage="1" showErrorMessage="1" sqref="G11:H569" xr:uid="{C10F35A3-27A2-458F-B0DA-33C15F5DE434}">
      <formula1>INDIRECT($F11)</formula1>
    </dataValidation>
    <dataValidation type="list" allowBlank="1" showInputMessage="1" showErrorMessage="1" sqref="L11:N569" xr:uid="{0A094040-C95C-4882-9B52-6660C54A84E9}">
      <formula1>INDIRECT($K11)</formula1>
    </dataValidation>
  </dataValidations>
  <pageMargins left="0.7" right="0.7" top="0.75" bottom="0.75" header="0.3" footer="0.3"/>
  <pageSetup orientation="portrait" verticalDpi="203"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24</vt:i4>
      </vt:variant>
      <vt:variant>
        <vt:lpstr>Rangos con nombre</vt:lpstr>
      </vt:variant>
      <vt:variant>
        <vt:i4>60</vt:i4>
      </vt:variant>
    </vt:vector>
  </HeadingPairs>
  <TitlesOfParts>
    <vt:vector size="84" baseType="lpstr">
      <vt:lpstr>Graph</vt:lpstr>
      <vt:lpstr>Edo Financiero 2023</vt:lpstr>
      <vt:lpstr>Edo Financiero 2024</vt:lpstr>
      <vt:lpstr>Mat. Prim 2023 BIOFERT sinitrab</vt:lpstr>
      <vt:lpstr>Mat. Prim 2023 BIOFERT</vt:lpstr>
      <vt:lpstr>Mat Prim 2024 BIOREP</vt:lpstr>
      <vt:lpstr>COSTOS TOTALES 2023</vt:lpstr>
      <vt:lpstr>TD</vt:lpstr>
      <vt:lpstr>BD</vt:lpstr>
      <vt:lpstr>xxx</vt:lpstr>
      <vt:lpstr>DASHBOARD</vt:lpstr>
      <vt:lpstr>Formulas Costeo</vt:lpstr>
      <vt:lpstr>MP E-S Ene 24</vt:lpstr>
      <vt:lpstr>Formulacion Ene 24</vt:lpstr>
      <vt:lpstr>COMPARATIVO COMERCIAL</vt:lpstr>
      <vt:lpstr>Crono Biofertilizantes</vt:lpstr>
      <vt:lpstr>Costeo BF</vt:lpstr>
      <vt:lpstr>Estim Aceites</vt:lpstr>
      <vt:lpstr>Miel</vt:lpstr>
      <vt:lpstr>Inv Fisico S20</vt:lpstr>
      <vt:lpstr>Inv Fisico</vt:lpstr>
      <vt:lpstr>Inv Fisico S19</vt:lpstr>
      <vt:lpstr>Salida semana 20</vt:lpstr>
      <vt:lpstr>MultiRoot</vt:lpstr>
      <vt:lpstr>'COMPARATIVO COMERCIAL'!Área_de_impresión</vt:lpstr>
      <vt:lpstr>Miel!Área_de_impresión</vt:lpstr>
      <vt:lpstr>'MP E-S Ene 24'!Área_de_impresión</vt:lpstr>
      <vt:lpstr>'COSTOS TOTALES 2023'!CitroFol_D</vt:lpstr>
      <vt:lpstr>'Edo Financiero 2023'!CitroFol_D</vt:lpstr>
      <vt:lpstr>'Edo Financiero 2024'!CitroFol_D</vt:lpstr>
      <vt:lpstr>'Formulas Costeo'!CitroFol_D</vt:lpstr>
      <vt:lpstr>Miel!CitroFol_D</vt:lpstr>
      <vt:lpstr>CitroFol_D</vt:lpstr>
      <vt:lpstr>'COSTOS TOTALES 2023'!Cliente</vt:lpstr>
      <vt:lpstr>'Edo Financiero 2024'!Cliente</vt:lpstr>
      <vt:lpstr>Miel!Cliente</vt:lpstr>
      <vt:lpstr>Cliente</vt:lpstr>
      <vt:lpstr>'COSTOS TOTALES 2023'!Composta</vt:lpstr>
      <vt:lpstr>'Edo Financiero 2023'!Composta</vt:lpstr>
      <vt:lpstr>'Edo Financiero 2024'!Composta</vt:lpstr>
      <vt:lpstr>'Formulas Costeo'!Composta</vt:lpstr>
      <vt:lpstr>Miel!Composta</vt:lpstr>
      <vt:lpstr>Composta</vt:lpstr>
      <vt:lpstr>Control_Biologico</vt:lpstr>
      <vt:lpstr>Crisopas</vt:lpstr>
      <vt:lpstr>'COSTOS TOTALES 2023'!Externo</vt:lpstr>
      <vt:lpstr>'Edo Financiero 2024'!Externo</vt:lpstr>
      <vt:lpstr>Miel!Externo</vt:lpstr>
      <vt:lpstr>Externo</vt:lpstr>
      <vt:lpstr>Jadam</vt:lpstr>
      <vt:lpstr>'COSTOS TOTALES 2023'!Lixiviado</vt:lpstr>
      <vt:lpstr>'Edo Financiero 2023'!Lixiviado</vt:lpstr>
      <vt:lpstr>'Edo Financiero 2024'!Lixiviado</vt:lpstr>
      <vt:lpstr>Miel!Lixiviado</vt:lpstr>
      <vt:lpstr>Lixiviado</vt:lpstr>
      <vt:lpstr>MD_Citri</vt:lpstr>
      <vt:lpstr>Miel</vt:lpstr>
      <vt:lpstr>'COSTOS TOTALES 2023'!MultiRoot</vt:lpstr>
      <vt:lpstr>'Edo Financiero 2024'!MultiRoot</vt:lpstr>
      <vt:lpstr>Miel!MultiRoot</vt:lpstr>
      <vt:lpstr>MultiRoot</vt:lpstr>
      <vt:lpstr>MultiRoot_P</vt:lpstr>
      <vt:lpstr>'COSTOS TOTALES 2023'!Nitrabor_Liq</vt:lpstr>
      <vt:lpstr>'Edo Financiero 2024'!Nitrabor_Liq</vt:lpstr>
      <vt:lpstr>Miel!Nitrabor_Liq</vt:lpstr>
      <vt:lpstr>Nitrabor_Liq</vt:lpstr>
      <vt:lpstr>'COSTOS TOTALES 2023'!Ter_Can</vt:lpstr>
      <vt:lpstr>'Edo Financiero 2024'!Ter_Can</vt:lpstr>
      <vt:lpstr>Miel!Ter_Can</vt:lpstr>
      <vt:lpstr>Ter_Can</vt:lpstr>
      <vt:lpstr>Trips_AV</vt:lpstr>
      <vt:lpstr>'COSTOS TOTALES 2023'!Vermicomposta</vt:lpstr>
      <vt:lpstr>'Edo Financiero 2024'!Vermicomposta</vt:lpstr>
      <vt:lpstr>Miel!Vermicomposta</vt:lpstr>
      <vt:lpstr>Vermicomposta</vt:lpstr>
      <vt:lpstr>Zona_A</vt:lpstr>
      <vt:lpstr>Zona_B</vt:lpstr>
      <vt:lpstr>Zona_C</vt:lpstr>
      <vt:lpstr>Zona_D</vt:lpstr>
      <vt:lpstr>Zona_E</vt:lpstr>
      <vt:lpstr>Zona_F</vt:lpstr>
      <vt:lpstr>Zona_G</vt:lpstr>
      <vt:lpstr>Zona_I</vt:lpstr>
      <vt:lpstr>Zona_V</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marae</dc:creator>
  <cp:lastModifiedBy>Marae</cp:lastModifiedBy>
  <cp:lastPrinted>2024-03-25T15:59:54Z</cp:lastPrinted>
  <dcterms:created xsi:type="dcterms:W3CDTF">2014-12-31T19:30:46Z</dcterms:created>
  <dcterms:modified xsi:type="dcterms:W3CDTF">2024-07-01T17:18:26Z</dcterms:modified>
</cp:coreProperties>
</file>